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49海口项目\2019-1-0049-P01HDZC1\最终\"/>
    </mc:Choice>
  </mc:AlternateContent>
  <bookViews>
    <workbookView xWindow="480" yWindow="336" windowWidth="12120" windowHeight="7500" tabRatio="899"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酒店" sheetId="15" r:id="rId23"/>
    <sheet name="收益法 (元)" sheetId="67" state="hidden" r:id="rId24"/>
    <sheet name="收益法（汇总）" sheetId="70"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办公及酒店案例" sheetId="78" r:id="rId33"/>
    <sheet name="土地比较法-住宅、综合" sheetId="39" r:id="rId34"/>
    <sheet name="基准地价修正" sheetId="43" state="hidden" r:id="rId35"/>
    <sheet name="修正" sheetId="45" state="hidden" r:id="rId36"/>
    <sheet name="容积率修正" sheetId="46" state="hidden" r:id="rId37"/>
    <sheet name="土地比较法-工业" sheetId="40"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土地案例!$A$1:$AS$1</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38" i="39" l="1"/>
  <c r="G38" i="39"/>
  <c r="E38" i="39"/>
  <c r="I7" i="39"/>
  <c r="G7" i="39"/>
  <c r="E7" i="39"/>
  <c r="I5" i="39"/>
  <c r="G5" i="39"/>
  <c r="E5" i="39"/>
  <c r="G46" i="39"/>
  <c r="E46" i="39"/>
  <c r="Q72" i="79"/>
  <c r="Q59" i="79"/>
  <c r="K59" i="79"/>
  <c r="P61" i="79" s="1"/>
  <c r="Q58" i="79"/>
  <c r="Q51" i="79"/>
  <c r="J50" i="79"/>
  <c r="M47" i="79"/>
  <c r="D46" i="79"/>
  <c r="F33" i="79"/>
  <c r="F61" i="79" s="1"/>
  <c r="D24" i="79"/>
  <c r="F23" i="79"/>
  <c r="D23" i="79"/>
  <c r="D22" i="79"/>
  <c r="F21" i="79"/>
  <c r="F20" i="79"/>
  <c r="M19" i="79"/>
  <c r="F18" i="79"/>
  <c r="F17" i="79"/>
  <c r="F15" i="79"/>
  <c r="P74" i="79" l="1"/>
  <c r="A7" i="70" l="1"/>
  <c r="I46" i="39" l="1"/>
  <c r="D71" i="39"/>
  <c r="E71" i="39" s="1"/>
  <c r="F71" i="39" s="1"/>
  <c r="G71" i="39" s="1"/>
  <c r="H71" i="39" s="1"/>
  <c r="I71" i="39" s="1"/>
  <c r="J71" i="39" s="1"/>
  <c r="K71" i="39" s="1"/>
  <c r="L71" i="39" s="1"/>
  <c r="M71" i="39" s="1"/>
  <c r="N71" i="39" s="1"/>
  <c r="O71" i="39" s="1"/>
  <c r="N14" i="1"/>
  <c r="F13"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B19" i="72" s="1"/>
  <c r="K59" i="67"/>
  <c r="P61" i="67" s="1"/>
  <c r="K59" i="15"/>
  <c r="P74" i="15" s="1"/>
  <c r="D116" i="39"/>
  <c r="E116" i="39"/>
  <c r="F116" i="39"/>
  <c r="G116" i="39"/>
  <c r="H116" i="39"/>
  <c r="I116" i="39"/>
  <c r="J116" i="39"/>
  <c r="K116" i="39"/>
  <c r="L116" i="39"/>
  <c r="M116" i="39"/>
  <c r="C116" i="39"/>
  <c r="A21" i="62"/>
  <c r="A20" i="62"/>
  <c r="A22" i="51"/>
  <c r="B17" i="72" s="1"/>
  <c r="A21" i="51"/>
  <c r="B16" i="72" s="1"/>
  <c r="A20" i="51"/>
  <c r="A15" i="62"/>
  <c r="B61" i="72" s="1"/>
  <c r="A14" i="62"/>
  <c r="A13" i="62"/>
  <c r="A19" i="62"/>
  <c r="A12" i="62"/>
  <c r="B58" i="72" s="1"/>
  <c r="A120" i="9"/>
  <c r="A6" i="52" s="1"/>
  <c r="B57" i="72" s="1"/>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65" i="72"/>
  <c r="B60" i="72"/>
  <c r="B59" i="72"/>
  <c r="B67" i="72"/>
  <c r="B66" i="72"/>
  <c r="B12" i="72"/>
  <c r="B10" i="72"/>
  <c r="C53" i="10"/>
  <c r="B51" i="10"/>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D23" i="71"/>
  <c r="C28" i="71"/>
  <c r="C29" i="71" s="1"/>
  <c r="D27"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8"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18" i="36"/>
  <c r="S21" i="34"/>
  <c r="H25" i="40"/>
  <c r="J25" i="40"/>
  <c r="H29" i="39"/>
  <c r="AB29" i="39" s="1"/>
  <c r="J29" i="39"/>
  <c r="W29" i="39" s="1"/>
  <c r="J18" i="36"/>
  <c r="H18" i="35"/>
  <c r="S18" i="35"/>
  <c r="G68" i="35"/>
  <c r="J18" i="35"/>
  <c r="F77" i="37"/>
  <c r="H21" i="37"/>
  <c r="F21" i="37"/>
  <c r="H21" i="34"/>
  <c r="F83" i="33"/>
  <c r="H21" i="33"/>
  <c r="F21" i="33"/>
  <c r="AA21" i="33" s="1"/>
  <c r="E83" i="21"/>
  <c r="S21" i="21"/>
  <c r="H1" i="69"/>
  <c r="AC25" i="40"/>
  <c r="W25" i="40"/>
  <c r="AB25" i="40"/>
  <c r="U25" i="40"/>
  <c r="AC29" i="39"/>
  <c r="AC18" i="36"/>
  <c r="W18" i="36"/>
  <c r="AB21" i="37"/>
  <c r="U21" i="37"/>
  <c r="AA21" i="37"/>
  <c r="S21" i="37"/>
  <c r="AB21" i="34"/>
  <c r="U21" i="34"/>
  <c r="U21" i="33"/>
  <c r="AB21" i="33"/>
  <c r="S21" i="33"/>
  <c r="AB18" i="35"/>
  <c r="U18" i="35"/>
  <c r="AC18" i="35"/>
  <c r="W18" i="35"/>
  <c r="G77" i="37"/>
  <c r="J21" i="37"/>
  <c r="W21" i="37" s="1"/>
  <c r="G84" i="34"/>
  <c r="J21" i="34"/>
  <c r="W21" i="34" s="1"/>
  <c r="G83" i="33"/>
  <c r="J21" i="33"/>
  <c r="W21" i="33" s="1"/>
  <c r="F83" i="2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C40" i="68"/>
  <c r="Q72" i="67"/>
  <c r="Q59" i="67"/>
  <c r="Q58" i="67"/>
  <c r="Q51" i="67"/>
  <c r="J50" i="67"/>
  <c r="M47" i="67"/>
  <c r="J53" i="67" s="1"/>
  <c r="F1" i="67" s="1"/>
  <c r="D46" i="67"/>
  <c r="F33" i="67"/>
  <c r="F61" i="67" s="1"/>
  <c r="F23" i="67"/>
  <c r="D24" i="67" s="1"/>
  <c r="F21" i="67"/>
  <c r="F20" i="67"/>
  <c r="M19" i="67"/>
  <c r="F18" i="67"/>
  <c r="F17" i="67"/>
  <c r="F15" i="67"/>
  <c r="S2" i="4"/>
  <c r="A2" i="9" s="1"/>
  <c r="A13" i="51"/>
  <c r="B11" i="72" s="1"/>
  <c r="S1" i="4"/>
  <c r="A4" i="51" s="1"/>
  <c r="B6" i="72" s="1"/>
  <c r="B1" i="4"/>
  <c r="B37" i="48" s="1"/>
  <c r="B2" i="72" s="1"/>
  <c r="I23" i="66"/>
  <c r="D20" i="66"/>
  <c r="I19" i="66"/>
  <c r="I18" i="66"/>
  <c r="I17" i="66"/>
  <c r="E15"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22"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F19" i="6" s="1"/>
  <c r="E19" i="6" s="1"/>
  <c r="AD5" i="3"/>
  <c r="AH5" i="3"/>
  <c r="AL5" i="3"/>
  <c r="AP5" i="3"/>
  <c r="F35" i="11"/>
  <c r="F36" i="11"/>
  <c r="F38" i="11"/>
  <c r="E37" i="11"/>
  <c r="F20" i="11"/>
  <c r="F21" i="11"/>
  <c r="C40" i="11" s="1"/>
  <c r="C21" i="1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G101" i="39" s="1"/>
  <c r="D99" i="39"/>
  <c r="E99" i="39" s="1"/>
  <c r="Q39" i="39"/>
  <c r="Z39" i="39"/>
  <c r="Q40" i="39"/>
  <c r="Z40" i="39"/>
  <c r="Q41" i="39"/>
  <c r="Z41" i="39"/>
  <c r="Q42" i="39"/>
  <c r="Z42" i="39"/>
  <c r="Q43" i="39"/>
  <c r="Z43" i="39"/>
  <c r="Q44" i="39"/>
  <c r="Z44" i="39" s="1"/>
  <c r="Q45" i="39"/>
  <c r="Z45" i="39" s="1"/>
  <c r="Q38" i="39"/>
  <c r="Z38" i="39" s="1"/>
  <c r="Q36" i="39"/>
  <c r="Z36" i="39" s="1"/>
  <c r="Q37" i="39"/>
  <c r="Z37" i="39"/>
  <c r="B131" i="39"/>
  <c r="H45" i="39"/>
  <c r="B129" i="39"/>
  <c r="H44" i="39" s="1"/>
  <c r="B127" i="39"/>
  <c r="J43" i="39" s="1"/>
  <c r="AC43" i="39" s="1"/>
  <c r="D126" i="39"/>
  <c r="E126" i="39" s="1"/>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E97" i="39" s="1"/>
  <c r="D95" i="39"/>
  <c r="E95" i="39" s="1"/>
  <c r="F95" i="39"/>
  <c r="G95" i="39" s="1"/>
  <c r="D93" i="39"/>
  <c r="E93" i="39" s="1"/>
  <c r="D91" i="39"/>
  <c r="E91" i="39" s="1"/>
  <c r="D89" i="39"/>
  <c r="E89" i="39"/>
  <c r="F89" i="39" s="1"/>
  <c r="G89" i="39" s="1"/>
  <c r="B86" i="39"/>
  <c r="B84" i="39"/>
  <c r="B82" i="39"/>
  <c r="F12" i="39" s="1"/>
  <c r="J12" i="39"/>
  <c r="AC12" i="39" s="1"/>
  <c r="M79" i="39"/>
  <c r="L79" i="39"/>
  <c r="K79" i="39"/>
  <c r="J79" i="39"/>
  <c r="I79" i="39"/>
  <c r="H79" i="39"/>
  <c r="G79" i="39"/>
  <c r="F79" i="39"/>
  <c r="E79" i="39"/>
  <c r="D79" i="39"/>
  <c r="C79" i="39"/>
  <c r="P48" i="39"/>
  <c r="P47" i="39"/>
  <c r="V46" i="39"/>
  <c r="T46" i="39"/>
  <c r="R46" i="39"/>
  <c r="P46" i="39"/>
  <c r="F44" i="39"/>
  <c r="AA44" i="39" s="1"/>
  <c r="J40" i="39"/>
  <c r="W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AB8" i="39" s="1"/>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AB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c r="J44" i="39"/>
  <c r="AC44" i="39" s="1"/>
  <c r="F36" i="39"/>
  <c r="S36" i="39" s="1"/>
  <c r="J35" i="39"/>
  <c r="AC35" i="39" s="1"/>
  <c r="F35" i="39"/>
  <c r="AA35" i="39" s="1"/>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W9"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AA41" i="39" s="1"/>
  <c r="H40" i="39"/>
  <c r="U40" i="39" s="1"/>
  <c r="H39" i="39"/>
  <c r="U39" i="39" s="1"/>
  <c r="H34" i="39"/>
  <c r="U34" i="39" s="1"/>
  <c r="H31" i="39"/>
  <c r="AB31" i="39"/>
  <c r="F31" i="39"/>
  <c r="AA31" i="39" s="1"/>
  <c r="J23" i="40"/>
  <c r="AC23" i="40" s="1"/>
  <c r="F21" i="40"/>
  <c r="AA21" i="40" s="1"/>
  <c r="J21" i="40"/>
  <c r="W21" i="40" s="1"/>
  <c r="H42" i="39"/>
  <c r="AB42" i="39" s="1"/>
  <c r="J34" i="39"/>
  <c r="AC34" i="39" s="1"/>
  <c r="J31" i="39"/>
  <c r="AC31" i="39" s="1"/>
  <c r="F27" i="39"/>
  <c r="AA27" i="39" s="1"/>
  <c r="F11" i="21"/>
  <c r="S11" i="21" s="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A12" i="34"/>
  <c r="AB12" i="35"/>
  <c r="AB12" i="36"/>
  <c r="W32" i="40"/>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U13" i="39" s="1"/>
  <c r="H14" i="40"/>
  <c r="AB14" i="40" s="1"/>
  <c r="J14" i="40"/>
  <c r="W14" i="40" s="1"/>
  <c r="F14" i="40"/>
  <c r="AA14" i="40" s="1"/>
  <c r="J14" i="37"/>
  <c r="AC14" i="37" s="1"/>
  <c r="J27" i="37"/>
  <c r="AC27" i="37" s="1"/>
  <c r="AA44" i="33"/>
  <c r="AA13" i="35"/>
  <c r="U31" i="34"/>
  <c r="AA14" i="33"/>
  <c r="J36" i="37"/>
  <c r="AC36" i="37"/>
  <c r="AB11" i="36"/>
  <c r="J10" i="36"/>
  <c r="AC10" i="36" s="1"/>
  <c r="AB26" i="33"/>
  <c r="AB30" i="21"/>
  <c r="W31" i="34"/>
  <c r="AC13" i="36"/>
  <c r="S11" i="36"/>
  <c r="W11" i="35"/>
  <c r="AC30" i="34"/>
  <c r="S45" i="33"/>
  <c r="AB31" i="33"/>
  <c r="W29" i="33"/>
  <c r="AC28" i="21"/>
  <c r="BA586" i="3"/>
  <c r="BA585" i="3"/>
  <c r="AZ585" i="3" s="1"/>
  <c r="F17" i="21"/>
  <c r="AA17" i="21" s="1"/>
  <c r="H17" i="21"/>
  <c r="AB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J42" i="39"/>
  <c r="AC42" i="39" s="1"/>
  <c r="H21" i="40"/>
  <c r="AB21" i="40" s="1"/>
  <c r="AC12" i="37"/>
  <c r="H31" i="37"/>
  <c r="U31" i="37"/>
  <c r="F71" i="37"/>
  <c r="G71" i="37"/>
  <c r="J15" i="37"/>
  <c r="W15" i="37"/>
  <c r="U12" i="37"/>
  <c r="AT6" i="3"/>
  <c r="AA25" i="21"/>
  <c r="C12" i="43"/>
  <c r="H19" i="40"/>
  <c r="U19" i="40"/>
  <c r="F88" i="40"/>
  <c r="G88" i="40"/>
  <c r="F19" i="40"/>
  <c r="S19" i="40"/>
  <c r="S14" i="40"/>
  <c r="AC13" i="40"/>
  <c r="AB33" i="40"/>
  <c r="U45" i="39"/>
  <c r="AB45" i="39"/>
  <c r="F25" i="39"/>
  <c r="AA25" i="39" s="1"/>
  <c r="F15" i="39"/>
  <c r="AA15" i="39" s="1"/>
  <c r="H15" i="39"/>
  <c r="U15" i="39" s="1"/>
  <c r="J15" i="39"/>
  <c r="W15" i="39"/>
  <c r="H41" i="39"/>
  <c r="AB41" i="39" s="1"/>
  <c r="S42" i="39"/>
  <c r="W9" i="39"/>
  <c r="W8" i="39"/>
  <c r="J19" i="40"/>
  <c r="AC19" i="40"/>
  <c r="J50" i="40"/>
  <c r="H103" i="9"/>
  <c r="D8" i="53" s="1"/>
  <c r="B16" i="53"/>
  <c r="B33" i="72" s="1"/>
  <c r="C7" i="37"/>
  <c r="C52" i="37" s="1"/>
  <c r="C7" i="34"/>
  <c r="C7" i="36"/>
  <c r="W35" i="40"/>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F29" i="6" s="1"/>
  <c r="BM5" i="3"/>
  <c r="BH5" i="3"/>
  <c r="BD5" i="3"/>
  <c r="AZ309" i="3"/>
  <c r="AZ317" i="3"/>
  <c r="AZ325" i="3"/>
  <c r="AZ333" i="3"/>
  <c r="AZ341" i="3"/>
  <c r="AZ549" i="3"/>
  <c r="AZ506" i="3"/>
  <c r="AZ496" i="3"/>
  <c r="G548" i="3"/>
  <c r="G538" i="3"/>
  <c r="G520" i="3"/>
  <c r="G502" i="3"/>
  <c r="BS5" i="3"/>
  <c r="BP5" i="3"/>
  <c r="AZ343" i="3"/>
  <c r="BK5" i="3"/>
  <c r="BI5" i="3"/>
  <c r="BG5" i="3"/>
  <c r="BC5" i="3"/>
  <c r="G17" i="3"/>
  <c r="BA17" i="3"/>
  <c r="AZ350" i="3"/>
  <c r="AZ352" i="3"/>
  <c r="AZ360" i="3"/>
  <c r="AZ368" i="3"/>
  <c r="BA15" i="3"/>
  <c r="AZ15" i="3"/>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AA39" i="39" s="1"/>
  <c r="J39" i="39"/>
  <c r="AC39"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H27" i="36"/>
  <c r="U27" i="36" s="1"/>
  <c r="F27" i="36"/>
  <c r="AA27" i="36" s="1"/>
  <c r="H33" i="34"/>
  <c r="U33" i="34" s="1"/>
  <c r="F32" i="37"/>
  <c r="AA32" i="37" s="1"/>
  <c r="G96" i="37"/>
  <c r="H96" i="37" s="1"/>
  <c r="I96" i="37" s="1"/>
  <c r="J96" i="37" s="1"/>
  <c r="K96" i="37" s="1"/>
  <c r="L96" i="37" s="1"/>
  <c r="M96" i="37" s="1"/>
  <c r="F20" i="36"/>
  <c r="AA20" i="36"/>
  <c r="J33" i="34"/>
  <c r="AC33" i="34"/>
  <c r="H86" i="43"/>
  <c r="H82" i="43"/>
  <c r="H87" i="43"/>
  <c r="K9" i="1"/>
  <c r="M9" i="1" s="1"/>
  <c r="AE9" i="1"/>
  <c r="D93" i="9"/>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R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S43" i="39"/>
  <c r="U35" i="39"/>
  <c r="U31" i="39"/>
  <c r="S25" i="39"/>
  <c r="J21" i="39"/>
  <c r="W21" i="39" s="1"/>
  <c r="F21" i="39"/>
  <c r="AA21" i="39" s="1"/>
  <c r="H21" i="39"/>
  <c r="U21" i="39" s="1"/>
  <c r="AC15" i="39"/>
  <c r="S15" i="39"/>
  <c r="AB15" i="39"/>
  <c r="S9"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M20" i="67"/>
  <c r="BL17" i="3"/>
  <c r="AZ17" i="3" s="1"/>
  <c r="J56" i="9"/>
  <c r="J57" i="9" s="1"/>
  <c r="J59" i="9" s="1"/>
  <c r="J61" i="9" s="1"/>
  <c r="A24" i="51"/>
  <c r="B18" i="72" s="1"/>
  <c r="U29" i="34"/>
  <c r="E5" i="6"/>
  <c r="D9" i="69" s="1"/>
  <c r="C9" i="69" s="1"/>
  <c r="E32" i="6"/>
  <c r="L19" i="6"/>
  <c r="K1" i="12"/>
  <c r="E19" i="69"/>
  <c r="E19" i="68"/>
  <c r="E19" i="11"/>
  <c r="G41" i="69"/>
  <c r="G27" i="12"/>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7" i="40"/>
  <c r="C63" i="40"/>
  <c r="C65" i="40" s="1"/>
  <c r="M47" i="9"/>
  <c r="G19" i="43"/>
  <c r="T35" i="4"/>
  <c r="A19" i="51"/>
  <c r="B14" i="72" s="1"/>
  <c r="C46" i="36"/>
  <c r="D46" i="36" s="1"/>
  <c r="C59" i="34"/>
  <c r="D52" i="37"/>
  <c r="E52" i="37" s="1"/>
  <c r="F52" i="37" s="1"/>
  <c r="C48" i="35"/>
  <c r="D48" i="35"/>
  <c r="C58" i="21"/>
  <c r="C4" i="12"/>
  <c r="H62" i="43"/>
  <c r="H66" i="43"/>
  <c r="H61" i="43"/>
  <c r="H65" i="43"/>
  <c r="H60" i="43"/>
  <c r="H64" i="43"/>
  <c r="H59" i="43"/>
  <c r="H63" i="43"/>
  <c r="H67" i="43"/>
  <c r="H55" i="43"/>
  <c r="H51" i="43"/>
  <c r="H56" i="43"/>
  <c r="H76" i="43"/>
  <c r="H72" i="43"/>
  <c r="H77" i="43"/>
  <c r="L20" i="6"/>
  <c r="S8" i="1"/>
  <c r="T8" i="1" s="1"/>
  <c r="K11" i="1"/>
  <c r="M11" i="1" s="1"/>
  <c r="AP6" i="1"/>
  <c r="B9" i="1"/>
  <c r="E9" i="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13" i="39"/>
  <c r="S13" i="39"/>
  <c r="S14" i="39"/>
  <c r="AA14" i="39"/>
  <c r="U43" i="39"/>
  <c r="AB43"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24" i="12"/>
  <c r="AA39" i="40"/>
  <c r="S39" i="40"/>
  <c r="S12" i="33"/>
  <c r="AA12" i="33"/>
  <c r="C16" i="43"/>
  <c r="D5" i="43" s="1"/>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R22" i="31"/>
  <c r="B21" i="31"/>
  <c r="O19" i="43"/>
  <c r="D63" i="40"/>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C13" i="12"/>
  <c r="F34" i="11"/>
  <c r="C36" i="11" s="1"/>
  <c r="F34" i="68"/>
  <c r="C36" i="68" s="1"/>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D2" i="33"/>
  <c r="D2" i="35"/>
  <c r="C76" i="67"/>
  <c r="F36" i="67"/>
  <c r="B12" i="76"/>
  <c r="AO11" i="1"/>
  <c r="D2" i="21"/>
  <c r="F3" i="73"/>
  <c r="F6" i="73"/>
  <c r="AO12" i="1"/>
  <c r="F26" i="67"/>
  <c r="F6" i="67"/>
  <c r="D7" i="73"/>
  <c r="F13" i="67"/>
  <c r="D2" i="37"/>
  <c r="E8" i="76"/>
  <c r="M27" i="67"/>
  <c r="AO10" i="1"/>
  <c r="D2" i="34"/>
  <c r="AO8" i="1"/>
  <c r="AO9" i="1"/>
  <c r="L47" i="67"/>
  <c r="E10" i="76"/>
  <c r="M24" i="67"/>
  <c r="D5" i="73"/>
  <c r="F41" i="67"/>
  <c r="E9" i="76"/>
  <c r="F7" i="73"/>
  <c r="F7" i="67"/>
  <c r="F40" i="67"/>
  <c r="F42" i="67"/>
  <c r="B10" i="76"/>
  <c r="M26" i="67"/>
  <c r="E11" i="76"/>
  <c r="F9" i="67"/>
  <c r="E13" i="76"/>
  <c r="M22" i="67"/>
  <c r="D4" i="73"/>
  <c r="F43" i="67"/>
  <c r="D3" i="73"/>
  <c r="F35" i="67"/>
  <c r="E12" i="76"/>
  <c r="F38" i="67"/>
  <c r="B13" i="76"/>
  <c r="D6" i="73"/>
  <c r="M9" i="67"/>
  <c r="M8" i="67"/>
  <c r="M29" i="67"/>
  <c r="M6" i="67"/>
  <c r="F20" i="31"/>
  <c r="B9" i="76"/>
  <c r="B11" i="76"/>
  <c r="B8" i="76"/>
  <c r="F4" i="73"/>
  <c r="F37" i="67"/>
  <c r="M23" i="67"/>
  <c r="F8" i="67"/>
  <c r="M28" i="67"/>
  <c r="E7" i="76"/>
  <c r="B7" i="76"/>
  <c r="F5" i="73"/>
  <c r="J15" i="67"/>
  <c r="F16" i="67"/>
  <c r="E2" i="68"/>
  <c r="AO13" i="1"/>
  <c r="M21" i="67"/>
  <c r="E2" i="69"/>
  <c r="D2" i="36"/>
  <c r="L48" i="67"/>
  <c r="D9" i="53" l="1"/>
  <c r="B25" i="72" s="1"/>
  <c r="B24" i="72"/>
  <c r="D12" i="52"/>
  <c r="D127" i="9"/>
  <c r="D13" i="52" s="1"/>
  <c r="L67" i="9"/>
  <c r="M67" i="9" s="1"/>
  <c r="L63" i="9"/>
  <c r="M63" i="9" s="1"/>
  <c r="M69" i="9" s="1"/>
  <c r="N69" i="9" s="1"/>
  <c r="L64" i="9"/>
  <c r="M64" i="9" s="1"/>
  <c r="L66" i="9"/>
  <c r="M66" i="9" s="1"/>
  <c r="L65" i="9"/>
  <c r="M65" i="9" s="1"/>
  <c r="I7" i="34"/>
  <c r="E7" i="34"/>
  <c r="G7" i="34"/>
  <c r="AZ511" i="3"/>
  <c r="AZ515" i="3"/>
  <c r="AZ519" i="3"/>
  <c r="AZ583" i="3"/>
  <c r="AZ558" i="3"/>
  <c r="AC11" i="36"/>
  <c r="W11" i="36"/>
  <c r="U46" i="34"/>
  <c r="AB46" i="34"/>
  <c r="S14" i="34"/>
  <c r="AA14" i="34"/>
  <c r="U45" i="33"/>
  <c r="AB45" i="33"/>
  <c r="AB13" i="33"/>
  <c r="U13" i="33"/>
  <c r="AB40" i="40"/>
  <c r="U40" i="40"/>
  <c r="W17" i="21"/>
  <c r="F53" i="9"/>
  <c r="F32" i="79"/>
  <c r="F60" i="79" s="1"/>
  <c r="F28" i="79"/>
  <c r="C28" i="79" s="1"/>
  <c r="M18" i="79"/>
  <c r="F48" i="9"/>
  <c r="O52" i="9" s="1"/>
  <c r="AZ521" i="3"/>
  <c r="AZ508" i="3"/>
  <c r="AZ520" i="3"/>
  <c r="AZ556" i="3"/>
  <c r="AA14" i="37"/>
  <c r="U14" i="39"/>
  <c r="AB14" i="39"/>
  <c r="AB46" i="33"/>
  <c r="U46" i="33"/>
  <c r="U11" i="35"/>
  <c r="AB11" i="35"/>
  <c r="AA44" i="34"/>
  <c r="S44" i="34"/>
  <c r="AB9" i="36"/>
  <c r="U9" i="36"/>
  <c r="J12" i="34"/>
  <c r="H12" i="34"/>
  <c r="J34" i="35"/>
  <c r="H34" i="35"/>
  <c r="F34" i="35"/>
  <c r="F23" i="36"/>
  <c r="AZ409" i="3"/>
  <c r="AZ416" i="3"/>
  <c r="AZ425" i="3"/>
  <c r="AZ432" i="3"/>
  <c r="AZ445" i="3"/>
  <c r="AZ447" i="3"/>
  <c r="H36" i="35"/>
  <c r="J36" i="35"/>
  <c r="F25" i="37"/>
  <c r="F34" i="67"/>
  <c r="F62" i="67" s="1"/>
  <c r="F34" i="79"/>
  <c r="F62" i="79" s="1"/>
  <c r="M20" i="79"/>
  <c r="G5" i="3"/>
  <c r="B3" i="3" s="1"/>
  <c r="BE5" i="3"/>
  <c r="BT5" i="3"/>
  <c r="BQ5" i="3"/>
  <c r="AZ471" i="3"/>
  <c r="AZ476" i="3"/>
  <c r="AZ478" i="3"/>
  <c r="AZ484" i="3"/>
  <c r="AZ492" i="3"/>
  <c r="AZ395" i="3"/>
  <c r="AZ208" i="3"/>
  <c r="AZ211" i="3"/>
  <c r="AZ219" i="3"/>
  <c r="AZ236" i="3"/>
  <c r="AZ252" i="3"/>
  <c r="AZ272" i="3"/>
  <c r="AZ276" i="3"/>
  <c r="AZ289" i="3"/>
  <c r="AZ294" i="3"/>
  <c r="AZ300" i="3"/>
  <c r="AZ118" i="3"/>
  <c r="AZ121" i="3"/>
  <c r="AZ134" i="3"/>
  <c r="AZ137" i="3"/>
  <c r="AC31" i="35"/>
  <c r="C77" i="9"/>
  <c r="C74" i="9" s="1"/>
  <c r="H5" i="3"/>
  <c r="BJ5" i="3"/>
  <c r="BF5" i="3"/>
  <c r="BN5" i="3"/>
  <c r="G29" i="6" s="1"/>
  <c r="BR5" i="3"/>
  <c r="AZ453" i="3"/>
  <c r="AZ455" i="3"/>
  <c r="AZ460" i="3"/>
  <c r="AZ22" i="3"/>
  <c r="AZ54" i="3"/>
  <c r="AZ57" i="3"/>
  <c r="AZ153" i="3"/>
  <c r="AZ68" i="3"/>
  <c r="AZ98" i="3"/>
  <c r="AZ104" i="3"/>
  <c r="AZ108" i="3"/>
  <c r="M100" i="43"/>
  <c r="I100" i="43"/>
  <c r="E100" i="43"/>
  <c r="D100" i="43"/>
  <c r="I20" i="66"/>
  <c r="D20" i="71"/>
  <c r="C21" i="71"/>
  <c r="G1" i="68"/>
  <c r="G1" i="79"/>
  <c r="G11" i="1"/>
  <c r="T29" i="71"/>
  <c r="D29" i="71"/>
  <c r="T25" i="71"/>
  <c r="D25" i="71"/>
  <c r="U18" i="36"/>
  <c r="S25" i="40"/>
  <c r="D12" i="71"/>
  <c r="D13" i="71"/>
  <c r="U13" i="71" s="1"/>
  <c r="AB12" i="71"/>
  <c r="S13" i="71"/>
  <c r="D19" i="71"/>
  <c r="S53" i="71"/>
  <c r="B52" i="71"/>
  <c r="AB9" i="71"/>
  <c r="AA9" i="71"/>
  <c r="C8" i="71"/>
  <c r="T9" i="71"/>
  <c r="D9" i="71"/>
  <c r="U9" i="71" s="1"/>
  <c r="Y7" i="71"/>
  <c r="Z7" i="71" s="1"/>
  <c r="AB7" i="71"/>
  <c r="AA14" i="71"/>
  <c r="X8" i="71"/>
  <c r="AA8" i="71"/>
  <c r="X6" i="71"/>
  <c r="AA6" i="71"/>
  <c r="E8" i="71"/>
  <c r="E7" i="71" s="1"/>
  <c r="X7" i="71"/>
  <c r="Y6" i="71"/>
  <c r="Z6" i="71" s="1"/>
  <c r="AB6" i="71"/>
  <c r="AB5" i="71"/>
  <c r="P74" i="67"/>
  <c r="X9" i="71"/>
  <c r="Y9" i="71"/>
  <c r="Z9" i="71" s="1"/>
  <c r="B9" i="71"/>
  <c r="Y8" i="71"/>
  <c r="Z8" i="71" s="1"/>
  <c r="AB8" i="71"/>
  <c r="AA7" i="71"/>
  <c r="X5" i="71"/>
  <c r="AA5" i="71"/>
  <c r="H25" i="39"/>
  <c r="AB25" i="39" s="1"/>
  <c r="AA34" i="39"/>
  <c r="S29" i="39"/>
  <c r="S31" i="39"/>
  <c r="U29" i="39"/>
  <c r="H27" i="39"/>
  <c r="U27" i="39" s="1"/>
  <c r="J27" i="39"/>
  <c r="AB27" i="39"/>
  <c r="S27" i="39"/>
  <c r="J25" i="39"/>
  <c r="F99" i="39"/>
  <c r="G99" i="39" s="1"/>
  <c r="H32" i="39"/>
  <c r="U32" i="39" s="1"/>
  <c r="F107" i="39"/>
  <c r="G107" i="39" s="1"/>
  <c r="H107" i="39" s="1"/>
  <c r="I107" i="39" s="1"/>
  <c r="J107" i="39" s="1"/>
  <c r="K107" i="39" s="1"/>
  <c r="L107" i="39" s="1"/>
  <c r="M107" i="39" s="1"/>
  <c r="J32" i="39"/>
  <c r="F32" i="39"/>
  <c r="AA32" i="39" s="1"/>
  <c r="AC37" i="39"/>
  <c r="W37" i="39"/>
  <c r="U36" i="39"/>
  <c r="AB36" i="39"/>
  <c r="H37" i="39"/>
  <c r="F37" i="39"/>
  <c r="AC40" i="39"/>
  <c r="AB44" i="39"/>
  <c r="U44" i="39"/>
  <c r="W44" i="39"/>
  <c r="W43" i="39"/>
  <c r="S44" i="39"/>
  <c r="AB40" i="39"/>
  <c r="W42" i="39"/>
  <c r="U42" i="39"/>
  <c r="AC41" i="39"/>
  <c r="S41" i="39"/>
  <c r="U41" i="39"/>
  <c r="AB39" i="39"/>
  <c r="S40" i="39"/>
  <c r="W39" i="39"/>
  <c r="S39" i="39"/>
  <c r="W34" i="39"/>
  <c r="AB34" i="39"/>
  <c r="C18" i="9"/>
  <c r="D18" i="9" s="1"/>
  <c r="F97" i="39"/>
  <c r="G97" i="39" s="1"/>
  <c r="F23" i="39"/>
  <c r="AA23" i="39" s="1"/>
  <c r="J23" i="39"/>
  <c r="AC23" i="39" s="1"/>
  <c r="H23" i="39"/>
  <c r="S21" i="39"/>
  <c r="AC21" i="39"/>
  <c r="AB21" i="39"/>
  <c r="AA12" i="39"/>
  <c r="S12" i="39"/>
  <c r="AB13" i="39"/>
  <c r="U12" i="39"/>
  <c r="W14" i="39"/>
  <c r="W12" i="39"/>
  <c r="G10" i="1"/>
  <c r="G7" i="1"/>
  <c r="H19" i="39"/>
  <c r="AB19" i="39" s="1"/>
  <c r="F93" i="39"/>
  <c r="G93" i="39" s="1"/>
  <c r="F17" i="39"/>
  <c r="S17" i="39" s="1"/>
  <c r="H17" i="39"/>
  <c r="U17" i="39" s="1"/>
  <c r="C5" i="43"/>
  <c r="G22" i="11"/>
  <c r="E1" i="73"/>
  <c r="D22" i="15"/>
  <c r="G41" i="11"/>
  <c r="G41" i="68"/>
  <c r="D22" i="67"/>
  <c r="G22" i="68"/>
  <c r="D23" i="15"/>
  <c r="G26" i="12"/>
  <c r="W37" i="34"/>
  <c r="AB37" i="34"/>
  <c r="S34" i="34"/>
  <c r="AC11" i="34"/>
  <c r="AA11" i="34"/>
  <c r="AB11" i="34"/>
  <c r="U9" i="34"/>
  <c r="P61" i="15"/>
  <c r="I10" i="66"/>
  <c r="I15" i="66" s="1"/>
  <c r="J19" i="39"/>
  <c r="F19" i="39"/>
  <c r="AA19" i="39" s="1"/>
  <c r="F91" i="39"/>
  <c r="G91" i="39" s="1"/>
  <c r="J17" i="39"/>
  <c r="U9" i="39"/>
  <c r="F34" i="15"/>
  <c r="F62" i="15" s="1"/>
  <c r="M20" i="15"/>
  <c r="C94" i="9"/>
  <c r="C92" i="9"/>
  <c r="C5" i="11"/>
  <c r="D68" i="9"/>
  <c r="F31" i="12"/>
  <c r="C31" i="12" s="1"/>
  <c r="F30" i="11"/>
  <c r="C48" i="11" s="1"/>
  <c r="F32" i="15"/>
  <c r="F60" i="15" s="1"/>
  <c r="F32" i="67"/>
  <c r="F60" i="67" s="1"/>
  <c r="M18" i="67"/>
  <c r="F28" i="67"/>
  <c r="C28" i="67" s="1"/>
  <c r="F30" i="68"/>
  <c r="C30" i="68" s="1"/>
  <c r="F28" i="15"/>
  <c r="C28" i="15" s="1"/>
  <c r="F54" i="9"/>
  <c r="M18" i="15"/>
  <c r="F30" i="69"/>
  <c r="C48" i="69" s="1"/>
  <c r="F52" i="9"/>
  <c r="C40" i="69"/>
  <c r="D23" i="67"/>
  <c r="E29" i="6"/>
  <c r="K15" i="1" s="1"/>
  <c r="L27" i="6"/>
  <c r="G28" i="6"/>
  <c r="G30" i="6" s="1"/>
  <c r="G31" i="6" s="1"/>
  <c r="F28" i="6"/>
  <c r="F30" i="6" s="1"/>
  <c r="G1" i="15"/>
  <c r="B6" i="1"/>
  <c r="E6" i="1" s="1"/>
  <c r="K6" i="1"/>
  <c r="G1" i="69"/>
  <c r="E246" i="3"/>
  <c r="AK6" i="3"/>
  <c r="E437" i="3"/>
  <c r="AE6" i="3"/>
  <c r="E479" i="3"/>
  <c r="E166" i="3"/>
  <c r="E394" i="3"/>
  <c r="E462" i="3"/>
  <c r="E142" i="3"/>
  <c r="E386" i="3"/>
  <c r="E112" i="3"/>
  <c r="E381" i="3"/>
  <c r="E222" i="3"/>
  <c r="E368" i="3"/>
  <c r="E207" i="3"/>
  <c r="E398" i="3"/>
  <c r="E517" i="3"/>
  <c r="E88" i="3"/>
  <c r="E256" i="3"/>
  <c r="E389" i="3"/>
  <c r="E467" i="3"/>
  <c r="E163" i="3"/>
  <c r="E325" i="3"/>
  <c r="E33" i="3"/>
  <c r="Y6" i="3"/>
  <c r="E265" i="3"/>
  <c r="E444" i="3"/>
  <c r="E268" i="3"/>
  <c r="AA6" i="3"/>
  <c r="E533" i="3"/>
  <c r="E89" i="3"/>
  <c r="E532" i="3"/>
  <c r="E558" i="3"/>
  <c r="E496" i="3"/>
  <c r="E152" i="3"/>
  <c r="E316" i="3"/>
  <c r="E32" i="3"/>
  <c r="E100" i="3"/>
  <c r="E249" i="3"/>
  <c r="E66" i="3"/>
  <c r="E289" i="3"/>
  <c r="E81" i="3"/>
  <c r="E82" i="3"/>
  <c r="E69" i="3"/>
  <c r="E185" i="3"/>
  <c r="E133" i="3"/>
  <c r="E465" i="3"/>
  <c r="E73" i="3"/>
  <c r="E241" i="3"/>
  <c r="E30" i="3"/>
  <c r="E65" i="3"/>
  <c r="E219" i="3"/>
  <c r="E23" i="3"/>
  <c r="E250" i="3"/>
  <c r="E62" i="3"/>
  <c r="E513" i="3"/>
  <c r="AC5" i="3"/>
  <c r="T13" i="1"/>
  <c r="BL13" i="3"/>
  <c r="BL5" i="3" s="1"/>
  <c r="AQ8" i="1"/>
  <c r="K6" i="3"/>
  <c r="I4" i="6"/>
  <c r="G3" i="43" s="1"/>
  <c r="G101" i="43" s="1"/>
  <c r="G109" i="43" s="1"/>
  <c r="E415" i="3"/>
  <c r="E445" i="3"/>
  <c r="E431" i="3"/>
  <c r="I6" i="3"/>
  <c r="E439" i="3"/>
  <c r="E262" i="3"/>
  <c r="E148" i="3"/>
  <c r="E204" i="3"/>
  <c r="E330" i="3"/>
  <c r="E552" i="3"/>
  <c r="E474" i="3"/>
  <c r="E424" i="3"/>
  <c r="E374" i="3"/>
  <c r="AP6" i="3"/>
  <c r="E581" i="3"/>
  <c r="E429" i="3"/>
  <c r="E491" i="3"/>
  <c r="E404" i="3"/>
  <c r="E55" i="3"/>
  <c r="E37" i="3"/>
  <c r="E121" i="3"/>
  <c r="E203" i="3"/>
  <c r="E192" i="3"/>
  <c r="E295" i="3"/>
  <c r="E274" i="3"/>
  <c r="E363" i="3"/>
  <c r="E334" i="3"/>
  <c r="E580" i="3"/>
  <c r="E76" i="3"/>
  <c r="E480" i="3"/>
  <c r="E15" i="3"/>
  <c r="E98" i="3"/>
  <c r="E160" i="3"/>
  <c r="E234" i="3"/>
  <c r="E307" i="3"/>
  <c r="E492" i="3"/>
  <c r="E36" i="3"/>
  <c r="E127" i="3"/>
  <c r="E355" i="3"/>
  <c r="E20" i="3"/>
  <c r="E179" i="3"/>
  <c r="E309" i="3"/>
  <c r="E395" i="3"/>
  <c r="E535" i="3"/>
  <c r="E347" i="3"/>
  <c r="E336" i="3"/>
  <c r="E270" i="3"/>
  <c r="E16" i="3"/>
  <c r="E453" i="3"/>
  <c r="E216" i="3"/>
  <c r="E269" i="3"/>
  <c r="E120" i="3"/>
  <c r="E164" i="3"/>
  <c r="E421" i="3"/>
  <c r="E527" i="3"/>
  <c r="E451" i="3"/>
  <c r="E562" i="3"/>
  <c r="E500" i="3"/>
  <c r="AS6" i="3"/>
  <c r="E450" i="3"/>
  <c r="E520" i="3"/>
  <c r="E447" i="3"/>
  <c r="E72" i="3"/>
  <c r="E57" i="3"/>
  <c r="E162" i="3"/>
  <c r="E150" i="3"/>
  <c r="E240" i="3"/>
  <c r="E210" i="3"/>
  <c r="E351" i="3"/>
  <c r="E378" i="3"/>
  <c r="E384" i="3"/>
  <c r="E31" i="3"/>
  <c r="E110" i="3"/>
  <c r="E441" i="3"/>
  <c r="E455" i="3"/>
  <c r="E278" i="3"/>
  <c r="E322" i="3"/>
  <c r="E579" i="3"/>
  <c r="E124" i="3"/>
  <c r="E568" i="3"/>
  <c r="E538" i="3"/>
  <c r="E296" i="3"/>
  <c r="E156" i="3"/>
  <c r="E271" i="3"/>
  <c r="E312" i="3"/>
  <c r="E573" i="3"/>
  <c r="E472" i="3"/>
  <c r="E416" i="3"/>
  <c r="E360" i="3"/>
  <c r="E505" i="3"/>
  <c r="E571" i="3"/>
  <c r="E413" i="3"/>
  <c r="E476" i="3"/>
  <c r="E433" i="3"/>
  <c r="E39" i="3"/>
  <c r="E27" i="3"/>
  <c r="E111" i="3"/>
  <c r="E187" i="3"/>
  <c r="E186" i="3"/>
  <c r="E279" i="3"/>
  <c r="E259" i="3"/>
  <c r="E331" i="3"/>
  <c r="E318" i="3"/>
  <c r="E504" i="3"/>
  <c r="E44" i="3"/>
  <c r="E75" i="3"/>
  <c r="E521" i="3"/>
  <c r="E64" i="3"/>
  <c r="E170" i="3"/>
  <c r="E248" i="3"/>
  <c r="E300" i="3"/>
  <c r="E392" i="3"/>
  <c r="E24" i="3"/>
  <c r="E144" i="3"/>
  <c r="E340" i="3"/>
  <c r="E51" i="3"/>
  <c r="E118" i="3"/>
  <c r="E365" i="3"/>
  <c r="C36" i="69"/>
  <c r="AR8" i="1"/>
  <c r="D9" i="11"/>
  <c r="C9" i="11" s="1"/>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125" i="3"/>
  <c r="E366" i="3"/>
  <c r="E553" i="3"/>
  <c r="E282" i="3"/>
  <c r="N6" i="3"/>
  <c r="E239" i="3"/>
  <c r="E516" i="3"/>
  <c r="E569" i="3"/>
  <c r="E396" i="3"/>
  <c r="E229" i="3"/>
  <c r="E151" i="3"/>
  <c r="E390" i="3"/>
  <c r="S6" i="3"/>
  <c r="E523" i="3"/>
  <c r="E506" i="3"/>
  <c r="E418" i="3"/>
  <c r="E338" i="3"/>
  <c r="E321" i="3"/>
  <c r="E298" i="3"/>
  <c r="E169" i="3"/>
  <c r="E61" i="3"/>
  <c r="E290" i="3"/>
  <c r="E117" i="3"/>
  <c r="E45" i="3"/>
  <c r="E224" i="3"/>
  <c r="E193" i="3"/>
  <c r="E286" i="3"/>
  <c r="E575" i="3"/>
  <c r="E499" i="3"/>
  <c r="R6" i="3"/>
  <c r="E502" i="3"/>
  <c r="E442" i="3"/>
  <c r="E466" i="3"/>
  <c r="E541" i="3"/>
  <c r="E430" i="3"/>
  <c r="E440" i="3"/>
  <c r="E459" i="3"/>
  <c r="E288"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13" i="1"/>
  <c r="E524" i="3"/>
  <c r="E264" i="3"/>
  <c r="E19" i="3"/>
  <c r="E364" i="3"/>
  <c r="E184" i="3"/>
  <c r="E123" i="3"/>
  <c r="E84" i="3"/>
  <c r="AQ6" i="3"/>
  <c r="E371" i="3"/>
  <c r="E209" i="3"/>
  <c r="E137" i="3"/>
  <c r="E138" i="3"/>
  <c r="E79" i="3"/>
  <c r="E484" i="3"/>
  <c r="E59" i="3"/>
  <c r="E109" i="3"/>
  <c r="E544" i="3"/>
  <c r="E362" i="3"/>
  <c r="E377" i="3"/>
  <c r="E292" i="3"/>
  <c r="E214" i="3"/>
  <c r="E211" i="3"/>
  <c r="E171" i="3"/>
  <c r="E182" i="3"/>
  <c r="E95" i="3"/>
  <c r="E106" i="3"/>
  <c r="E28" i="3"/>
  <c r="E454" i="3"/>
  <c r="E489" i="3"/>
  <c r="E435" i="3"/>
  <c r="E577" i="3"/>
  <c r="E557" i="3"/>
  <c r="I3" i="6"/>
  <c r="E457" i="3"/>
  <c r="E438" i="3"/>
  <c r="E464" i="3"/>
  <c r="E313" i="3"/>
  <c r="E145" i="3"/>
  <c r="E135" i="3"/>
  <c r="E136" i="3"/>
  <c r="E380" i="3"/>
  <c r="E536" i="3"/>
  <c r="E314" i="3"/>
  <c r="E247" i="3"/>
  <c r="E583" i="3"/>
  <c r="E563" i="3"/>
  <c r="E101" i="3"/>
  <c r="E373" i="3"/>
  <c r="E283" i="3"/>
  <c r="E218" i="3"/>
  <c r="E154" i="3"/>
  <c r="E63" i="3"/>
  <c r="E50" i="3"/>
  <c r="E341" i="3"/>
  <c r="E233" i="3"/>
  <c r="E147" i="3"/>
  <c r="E87" i="3"/>
  <c r="E67" i="3"/>
  <c r="E52" i="3"/>
  <c r="E584" i="3"/>
  <c r="E310" i="3"/>
  <c r="E339" i="3"/>
  <c r="E266" i="3"/>
  <c r="E267" i="3"/>
  <c r="E194" i="3"/>
  <c r="E195" i="3"/>
  <c r="E103" i="3"/>
  <c r="E38" i="3"/>
  <c r="E47" i="3"/>
  <c r="E425" i="3"/>
  <c r="E473" i="3"/>
  <c r="E540" i="3"/>
  <c r="E29" i="3"/>
  <c r="E93" i="3"/>
  <c r="E58" i="3"/>
  <c r="AM6" i="3"/>
  <c r="E14" i="3"/>
  <c r="E375" i="3"/>
  <c r="E317" i="3"/>
  <c r="E357" i="3"/>
  <c r="E348" i="3"/>
  <c r="E291" i="3"/>
  <c r="E257" i="3"/>
  <c r="E297" i="3"/>
  <c r="E272" i="3"/>
  <c r="E208" i="3"/>
  <c r="E155" i="3"/>
  <c r="E126" i="3"/>
  <c r="E168" i="3"/>
  <c r="E131" i="3"/>
  <c r="E92" i="3"/>
  <c r="E54" i="3"/>
  <c r="E90" i="3"/>
  <c r="E71" i="3"/>
  <c r="E475" i="3"/>
  <c r="E436" i="3"/>
  <c r="E546" i="3"/>
  <c r="E471" i="3"/>
  <c r="E460" i="3"/>
  <c r="E403" i="3"/>
  <c r="E537" i="3"/>
  <c r="E582" i="3"/>
  <c r="E547" i="3"/>
  <c r="W6" i="3"/>
  <c r="E566" i="3"/>
  <c r="E344" i="3"/>
  <c r="E490" i="3"/>
  <c r="E449" i="3"/>
  <c r="E406" i="3"/>
  <c r="E487" i="3"/>
  <c r="E458" i="3"/>
  <c r="E560" i="3"/>
  <c r="E542" i="3"/>
  <c r="E519" i="3"/>
  <c r="E107" i="3"/>
  <c r="E177" i="3"/>
  <c r="E252" i="3"/>
  <c r="E161" i="3"/>
  <c r="E236" i="3"/>
  <c r="E196" i="3"/>
  <c r="E231" i="3"/>
  <c r="E306" i="3"/>
  <c r="E549" i="3"/>
  <c r="E561" i="3"/>
  <c r="E511" i="3"/>
  <c r="E397" i="3"/>
  <c r="E201" i="3"/>
  <c r="E280" i="3"/>
  <c r="X6" i="3"/>
  <c r="E509" i="3"/>
  <c r="E550" i="3"/>
  <c r="E172" i="3"/>
  <c r="E526" i="3"/>
  <c r="E114" i="3"/>
  <c r="E21" i="3"/>
  <c r="E323" i="3"/>
  <c r="E176" i="3"/>
  <c r="E68" i="3"/>
  <c r="E284" i="3"/>
  <c r="E48" i="3"/>
  <c r="E354" i="3"/>
  <c r="E299" i="3"/>
  <c r="E200" i="3"/>
  <c r="E46" i="3"/>
  <c r="E446" i="3"/>
  <c r="E409" i="3"/>
  <c r="E74" i="3"/>
  <c r="E572" i="3"/>
  <c r="E349" i="3"/>
  <c r="E315" i="3"/>
  <c r="E273" i="3"/>
  <c r="E258" i="3"/>
  <c r="E132" i="3"/>
  <c r="E146" i="3"/>
  <c r="E70" i="3"/>
  <c r="E56" i="3"/>
  <c r="E417" i="3"/>
  <c r="E468" i="3"/>
  <c r="E531" i="3"/>
  <c r="E554" i="3"/>
  <c r="E587" i="3"/>
  <c r="E255" i="3"/>
  <c r="E481" i="3"/>
  <c r="E529" i="3"/>
  <c r="Q6" i="3"/>
  <c r="AD6" i="3"/>
  <c r="E277" i="3"/>
  <c r="E122" i="3"/>
  <c r="E244" i="3"/>
  <c r="E434" i="3"/>
  <c r="AR6" i="3"/>
  <c r="E293" i="3"/>
  <c r="E399" i="3"/>
  <c r="AJ6" i="3"/>
  <c r="E260" i="3"/>
  <c r="E217" i="3"/>
  <c r="T9" i="1"/>
  <c r="AQ9" i="1"/>
  <c r="AQ10" i="1"/>
  <c r="T10" i="1"/>
  <c r="T12" i="1"/>
  <c r="AQ12" i="1"/>
  <c r="BB5" i="3"/>
  <c r="BA13" i="3"/>
  <c r="D9" i="68"/>
  <c r="C9" i="68" s="1"/>
  <c r="D19" i="12"/>
  <c r="C19" i="12" s="1"/>
  <c r="O7" i="1"/>
  <c r="P7" i="1" s="1"/>
  <c r="O11" i="1"/>
  <c r="P11" i="1" s="1"/>
  <c r="O12" i="1"/>
  <c r="P12" i="1" s="1"/>
  <c r="O8" i="1"/>
  <c r="P8" i="1" s="1"/>
  <c r="AR11" i="1"/>
  <c r="T11" i="1"/>
  <c r="O9" i="1"/>
  <c r="P9" i="1" s="1"/>
  <c r="AQ13" i="1"/>
  <c r="G104" i="43"/>
  <c r="H101" i="43"/>
  <c r="G103" i="43"/>
  <c r="G6" i="1"/>
  <c r="G12" i="1"/>
  <c r="G8" i="1"/>
  <c r="G13" i="1"/>
  <c r="G9" i="1"/>
  <c r="A118" i="9"/>
  <c r="A4" i="52"/>
  <c r="B41" i="72" s="1"/>
  <c r="C51" i="10"/>
  <c r="D65" i="40"/>
  <c r="E63" i="40"/>
  <c r="G52" i="37"/>
  <c r="H52" i="37" s="1"/>
  <c r="I52" i="37" s="1"/>
  <c r="J52" i="37" s="1"/>
  <c r="K52" i="37" s="1"/>
  <c r="L52" i="37" s="1"/>
  <c r="M52" i="37" s="1"/>
  <c r="N52" i="37" s="1"/>
  <c r="O52" i="37" s="1"/>
  <c r="F7" i="37"/>
  <c r="D58" i="33"/>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Q52" i="67"/>
  <c r="D68" i="39"/>
  <c r="E48" i="35"/>
  <c r="F48" i="35" s="1"/>
  <c r="G48" i="35" s="1"/>
  <c r="H48" i="35" s="1"/>
  <c r="I48" i="35" s="1"/>
  <c r="J48" i="35" s="1"/>
  <c r="K48" i="35" s="1"/>
  <c r="L48" i="35" s="1"/>
  <c r="M48" i="35" s="1"/>
  <c r="N48" i="35" s="1"/>
  <c r="O48" i="35" s="1"/>
  <c r="F7" i="35"/>
  <c r="H7" i="37"/>
  <c r="D59" i="34"/>
  <c r="F7" i="36"/>
  <c r="C30" i="69"/>
  <c r="F6" i="71"/>
  <c r="F5" i="71" s="1"/>
  <c r="Y5" i="71"/>
  <c r="Z5" i="71" s="1"/>
  <c r="B7" i="49"/>
  <c r="E4" i="4" s="1"/>
  <c r="B5" i="62" s="1"/>
  <c r="B73" i="72" s="1"/>
  <c r="E7" i="49"/>
  <c r="B15" i="49"/>
  <c r="AB3" i="71"/>
  <c r="X3" i="71"/>
  <c r="E6" i="71"/>
  <c r="E5" i="71" s="1"/>
  <c r="E10" i="49"/>
  <c r="B6" i="49"/>
  <c r="E14" i="49"/>
  <c r="AF3" i="71"/>
  <c r="P24" i="43" s="1"/>
  <c r="B66" i="40" s="1"/>
  <c r="P23" i="43"/>
  <c r="P21" i="43"/>
  <c r="P22" i="43"/>
  <c r="C23" i="12"/>
  <c r="B13" i="49"/>
  <c r="B4" i="49"/>
  <c r="C4" i="4" s="1"/>
  <c r="B9" i="49"/>
  <c r="E22" i="49"/>
  <c r="E16" i="49"/>
  <c r="E11" i="49"/>
  <c r="B10" i="49"/>
  <c r="E6" i="49"/>
  <c r="E8" i="49"/>
  <c r="E5" i="49"/>
  <c r="B8" i="49"/>
  <c r="B5" i="49"/>
  <c r="E21" i="49"/>
  <c r="E4" i="49"/>
  <c r="B11" i="49"/>
  <c r="B14" i="49"/>
  <c r="B16" i="49"/>
  <c r="E13" i="49"/>
  <c r="E15" i="49"/>
  <c r="E9" i="49"/>
  <c r="B22" i="49"/>
  <c r="F70" i="67"/>
  <c r="F64" i="67"/>
  <c r="F71" i="67"/>
  <c r="B10" i="70"/>
  <c r="F68" i="67"/>
  <c r="F66" i="67"/>
  <c r="L59" i="67"/>
  <c r="M59" i="67"/>
  <c r="N59" i="67"/>
  <c r="L58" i="67"/>
  <c r="Q71" i="67"/>
  <c r="B13" i="70"/>
  <c r="E20" i="43"/>
  <c r="B8" i="70"/>
  <c r="C34" i="67"/>
  <c r="F63" i="67"/>
  <c r="C62" i="67" s="1"/>
  <c r="B20" i="31"/>
  <c r="F69" i="67"/>
  <c r="J20" i="67"/>
  <c r="F65" i="67"/>
  <c r="M7" i="67"/>
  <c r="J6" i="67" s="1"/>
  <c r="F50" i="67"/>
  <c r="F51" i="67"/>
  <c r="C6" i="67"/>
  <c r="B11" i="70"/>
  <c r="I1" i="73"/>
  <c r="B39" i="1" s="1"/>
  <c r="I54" i="67"/>
  <c r="J57" i="67"/>
  <c r="J55" i="67" s="1"/>
  <c r="J58" i="67" s="1"/>
  <c r="Q50" i="67" s="1"/>
  <c r="L56" i="67"/>
  <c r="C27" i="67"/>
  <c r="B12" i="70"/>
  <c r="B9" i="70"/>
  <c r="K1" i="73"/>
  <c r="C16" i="67"/>
  <c r="C76" i="15"/>
  <c r="C14" i="67"/>
  <c r="M24" i="15"/>
  <c r="F40" i="15"/>
  <c r="F38" i="15"/>
  <c r="F16" i="15"/>
  <c r="M27" i="15"/>
  <c r="F8" i="15"/>
  <c r="F36" i="15"/>
  <c r="L47" i="15"/>
  <c r="F37" i="15"/>
  <c r="J15" i="15"/>
  <c r="C17" i="67"/>
  <c r="M22" i="15"/>
  <c r="F9" i="15"/>
  <c r="G1" i="73"/>
  <c r="L48" i="15"/>
  <c r="M8" i="15"/>
  <c r="F42" i="15"/>
  <c r="M26" i="15"/>
  <c r="M28" i="15"/>
  <c r="M29" i="15"/>
  <c r="F31" i="67"/>
  <c r="M6" i="15"/>
  <c r="F7" i="15"/>
  <c r="F59" i="67"/>
  <c r="F26" i="15"/>
  <c r="F13" i="15"/>
  <c r="M9" i="15"/>
  <c r="M17" i="67"/>
  <c r="F43" i="15"/>
  <c r="M23" i="15"/>
  <c r="K4" i="4" l="1"/>
  <c r="B46" i="48" s="1"/>
  <c r="B4" i="72" s="1"/>
  <c r="B4" i="62"/>
  <c r="B71" i="72" s="1"/>
  <c r="H7" i="35"/>
  <c r="H7" i="21"/>
  <c r="J7" i="35"/>
  <c r="AA17" i="39"/>
  <c r="B8" i="71"/>
  <c r="B7" i="71" s="1"/>
  <c r="B6" i="71" s="1"/>
  <c r="B5" i="71" s="1"/>
  <c r="S9" i="71"/>
  <c r="C7" i="71"/>
  <c r="D8" i="71"/>
  <c r="AC36" i="35"/>
  <c r="W36" i="35"/>
  <c r="AA23" i="36"/>
  <c r="S23" i="36"/>
  <c r="AB34" i="35"/>
  <c r="U34" i="35"/>
  <c r="AB12" i="34"/>
  <c r="U12" i="34"/>
  <c r="B71" i="39"/>
  <c r="B51" i="71"/>
  <c r="N52" i="71"/>
  <c r="T21" i="71"/>
  <c r="D21" i="71"/>
  <c r="AA25" i="37"/>
  <c r="S25" i="37"/>
  <c r="AB36" i="35"/>
  <c r="U36" i="35"/>
  <c r="AA34" i="35"/>
  <c r="S34" i="35"/>
  <c r="W34" i="35"/>
  <c r="AC34" i="35"/>
  <c r="AC12" i="34"/>
  <c r="W12" i="34"/>
  <c r="U25" i="39"/>
  <c r="W27" i="39"/>
  <c r="AC27" i="39"/>
  <c r="W25" i="39"/>
  <c r="AC25" i="39"/>
  <c r="AB32" i="39"/>
  <c r="AC32" i="39"/>
  <c r="W32" i="39"/>
  <c r="S32" i="39"/>
  <c r="AA37" i="39"/>
  <c r="S37" i="39"/>
  <c r="U37" i="39"/>
  <c r="AB37" i="39"/>
  <c r="W23" i="39"/>
  <c r="AB23" i="39"/>
  <c r="U23" i="39"/>
  <c r="S23" i="39"/>
  <c r="U19" i="39"/>
  <c r="AB17" i="39"/>
  <c r="F11" i="79"/>
  <c r="M11" i="79"/>
  <c r="Q16" i="1"/>
  <c r="F27" i="69" s="1"/>
  <c r="C47" i="69" s="1"/>
  <c r="D45" i="69" s="1"/>
  <c r="I21" i="66"/>
  <c r="C29" i="66" s="1"/>
  <c r="C28" i="66"/>
  <c r="J53" i="15"/>
  <c r="L56" i="15" s="1"/>
  <c r="W19" i="39"/>
  <c r="AC19" i="39"/>
  <c r="S19" i="39"/>
  <c r="W17" i="39"/>
  <c r="AC17" i="39"/>
  <c r="C48" i="68"/>
  <c r="C30" i="11"/>
  <c r="AC11" i="43"/>
  <c r="AC13" i="43" s="1"/>
  <c r="G102" i="43"/>
  <c r="E28" i="6"/>
  <c r="E30" i="6" s="1"/>
  <c r="AB11" i="43"/>
  <c r="AB13" i="43" s="1"/>
  <c r="Z11" i="43"/>
  <c r="Z13" i="43" s="1"/>
  <c r="I101" i="43"/>
  <c r="I105" i="43" s="1"/>
  <c r="M101" i="43"/>
  <c r="E22" i="43"/>
  <c r="D101" i="43"/>
  <c r="D107" i="43" s="1"/>
  <c r="Y11" i="43"/>
  <c r="Y13" i="43" s="1"/>
  <c r="L101" i="43"/>
  <c r="L103" i="43" s="1"/>
  <c r="F101" i="43"/>
  <c r="F109" i="43" s="1"/>
  <c r="C101" i="43"/>
  <c r="C105" i="43" s="1"/>
  <c r="AE11" i="43"/>
  <c r="AE13" i="43" s="1"/>
  <c r="AH11" i="43"/>
  <c r="AH13" i="43" s="1"/>
  <c r="K101" i="43"/>
  <c r="K104" i="43" s="1"/>
  <c r="G107" i="43"/>
  <c r="AF11" i="43"/>
  <c r="AF13" i="43" s="1"/>
  <c r="AJ11" i="43"/>
  <c r="AJ13" i="43" s="1"/>
  <c r="H22" i="43"/>
  <c r="N104" i="46"/>
  <c r="AA11" i="43"/>
  <c r="AA13" i="43" s="1"/>
  <c r="AD11" i="43"/>
  <c r="AD13" i="43" s="1"/>
  <c r="N101" i="43"/>
  <c r="N104" i="43" s="1"/>
  <c r="G106" i="43"/>
  <c r="G105" i="43"/>
  <c r="Z7" i="43"/>
  <c r="AG11" i="43"/>
  <c r="AG13" i="43" s="1"/>
  <c r="J101" i="43"/>
  <c r="J104" i="43" s="1"/>
  <c r="G22" i="43"/>
  <c r="B113" i="43"/>
  <c r="D116" i="43" s="1"/>
  <c r="E116" i="43" s="1"/>
  <c r="F116" i="43" s="1"/>
  <c r="G116" i="43" s="1"/>
  <c r="H116" i="43" s="1"/>
  <c r="AI11" i="43"/>
  <c r="AI13" i="43" s="1"/>
  <c r="E101" i="43"/>
  <c r="E102" i="43" s="1"/>
  <c r="F22" i="43"/>
  <c r="F64" i="15"/>
  <c r="F66" i="15"/>
  <c r="C27" i="15"/>
  <c r="Q71" i="15"/>
  <c r="J57" i="15"/>
  <c r="J55" i="15" s="1"/>
  <c r="J58" i="15" s="1"/>
  <c r="Q50" i="15" s="1"/>
  <c r="I54" i="15"/>
  <c r="F51" i="15"/>
  <c r="N59" i="15"/>
  <c r="M59" i="15"/>
  <c r="L58" i="15"/>
  <c r="Q60" i="15" s="1"/>
  <c r="L59" i="15"/>
  <c r="Q74" i="15" s="1"/>
  <c r="F71" i="15"/>
  <c r="F68" i="15"/>
  <c r="F65" i="15"/>
  <c r="F50" i="15"/>
  <c r="M7" i="15"/>
  <c r="H16" i="1"/>
  <c r="M6" i="1"/>
  <c r="K14" i="1"/>
  <c r="O6" i="1"/>
  <c r="P6" i="1" s="1"/>
  <c r="AZ13" i="3"/>
  <c r="AZ5" i="3" s="1"/>
  <c r="BA5" i="3"/>
  <c r="AC6" i="3"/>
  <c r="H6" i="3"/>
  <c r="E15" i="6"/>
  <c r="E10" i="6"/>
  <c r="E8" i="6"/>
  <c r="E12" i="6"/>
  <c r="E11" i="6"/>
  <c r="E14" i="6"/>
  <c r="E13" i="6"/>
  <c r="H102" i="43"/>
  <c r="H104" i="43"/>
  <c r="H107" i="43"/>
  <c r="H105" i="43"/>
  <c r="H106" i="43"/>
  <c r="H109" i="43"/>
  <c r="H103" i="43"/>
  <c r="L106" i="43"/>
  <c r="L104" i="43"/>
  <c r="I106" i="43"/>
  <c r="M106" i="43"/>
  <c r="M109" i="43"/>
  <c r="M107" i="43"/>
  <c r="M104" i="43"/>
  <c r="M103" i="43"/>
  <c r="M102" i="43"/>
  <c r="M105" i="43"/>
  <c r="F107" i="43"/>
  <c r="F102" i="43"/>
  <c r="F103" i="43"/>
  <c r="F105" i="43"/>
  <c r="D115" i="43"/>
  <c r="E115" i="43" s="1"/>
  <c r="F115" i="43" s="1"/>
  <c r="G115" i="43" s="1"/>
  <c r="H115" i="43" s="1"/>
  <c r="B116" i="43"/>
  <c r="C116" i="43" s="1"/>
  <c r="K109" i="43"/>
  <c r="K107" i="43"/>
  <c r="K106" i="43"/>
  <c r="J103" i="43"/>
  <c r="N106" i="43"/>
  <c r="N109" i="43"/>
  <c r="G16" i="1"/>
  <c r="F10" i="39" s="1"/>
  <c r="U7" i="37"/>
  <c r="AB7" i="37"/>
  <c r="T42" i="37" s="1"/>
  <c r="G42" i="37" s="1"/>
  <c r="AB7" i="21"/>
  <c r="T48" i="21" s="1"/>
  <c r="G48" i="21" s="1"/>
  <c r="U7" i="21"/>
  <c r="S7" i="37"/>
  <c r="AA7" i="37"/>
  <c r="R42" i="37" s="1"/>
  <c r="J7" i="36"/>
  <c r="J7" i="21"/>
  <c r="H7" i="36"/>
  <c r="F63" i="40"/>
  <c r="E65" i="40"/>
  <c r="AA7" i="36"/>
  <c r="R36" i="36" s="1"/>
  <c r="S7" i="36"/>
  <c r="AB7" i="35"/>
  <c r="T38" i="35" s="1"/>
  <c r="G38" i="35" s="1"/>
  <c r="U7" i="35"/>
  <c r="AC7" i="35"/>
  <c r="V38" i="35" s="1"/>
  <c r="I38" i="35" s="1"/>
  <c r="W7" i="35"/>
  <c r="S7" i="35"/>
  <c r="AA7" i="35"/>
  <c r="R38" i="35" s="1"/>
  <c r="J7" i="37"/>
  <c r="E59" i="34"/>
  <c r="D70" i="39"/>
  <c r="E68" i="39"/>
  <c r="F7" i="21"/>
  <c r="E58" i="33"/>
  <c r="P25" i="43"/>
  <c r="C49" i="67"/>
  <c r="B40" i="1"/>
  <c r="F24" i="79" s="1"/>
  <c r="C18" i="67"/>
  <c r="C15" i="67"/>
  <c r="M11" i="15"/>
  <c r="F11" i="67"/>
  <c r="F11" i="15"/>
  <c r="M11" i="67"/>
  <c r="J10" i="67" s="1"/>
  <c r="J5" i="67" s="1"/>
  <c r="Q73" i="67"/>
  <c r="Q60" i="67"/>
  <c r="P17" i="43"/>
  <c r="M17" i="43"/>
  <c r="N17" i="43"/>
  <c r="O17" i="43"/>
  <c r="Q61" i="67"/>
  <c r="Q74" i="67"/>
  <c r="M22" i="79"/>
  <c r="F36" i="79"/>
  <c r="J15" i="79"/>
  <c r="F9" i="79"/>
  <c r="F6" i="79"/>
  <c r="C76" i="79"/>
  <c r="M29" i="79"/>
  <c r="M9" i="79"/>
  <c r="F42" i="79"/>
  <c r="F43" i="79"/>
  <c r="F40" i="79"/>
  <c r="M28" i="79"/>
  <c r="L47" i="79"/>
  <c r="C16" i="15"/>
  <c r="M26" i="79"/>
  <c r="M27" i="79"/>
  <c r="F7" i="79"/>
  <c r="F38" i="79"/>
  <c r="M8" i="79"/>
  <c r="F13" i="79"/>
  <c r="F16" i="79"/>
  <c r="M24" i="79"/>
  <c r="F37" i="79"/>
  <c r="M23" i="79"/>
  <c r="M6" i="79"/>
  <c r="F26" i="79"/>
  <c r="F8" i="79"/>
  <c r="L48" i="79"/>
  <c r="M17" i="15"/>
  <c r="F59" i="15"/>
  <c r="F31" i="79"/>
  <c r="I54" i="79" l="1"/>
  <c r="J53" i="79"/>
  <c r="J57" i="79"/>
  <c r="J55" i="79" s="1"/>
  <c r="J58" i="79" s="1"/>
  <c r="Q50" i="79" s="1"/>
  <c r="L57" i="79"/>
  <c r="L56" i="79"/>
  <c r="L60" i="79"/>
  <c r="F51" i="79"/>
  <c r="C27" i="79"/>
  <c r="F65" i="79"/>
  <c r="F66" i="79"/>
  <c r="F50" i="79"/>
  <c r="M7" i="79"/>
  <c r="J6" i="79" s="1"/>
  <c r="J10" i="79" s="1"/>
  <c r="J5" i="79" s="1"/>
  <c r="L59" i="79"/>
  <c r="L58" i="79"/>
  <c r="N59" i="79"/>
  <c r="M59" i="79"/>
  <c r="F68" i="79"/>
  <c r="F71" i="79"/>
  <c r="Q71" i="79"/>
  <c r="C6" i="79"/>
  <c r="F64" i="79"/>
  <c r="B117" i="43"/>
  <c r="C117" i="43" s="1"/>
  <c r="E105" i="43"/>
  <c r="N50" i="71"/>
  <c r="N51" i="71"/>
  <c r="D7" i="71"/>
  <c r="C6" i="71"/>
  <c r="F27" i="68"/>
  <c r="C29" i="68" s="1"/>
  <c r="D27" i="68" s="1"/>
  <c r="F28" i="12"/>
  <c r="C29" i="12" s="1"/>
  <c r="D28" i="12" s="1"/>
  <c r="F27" i="11"/>
  <c r="C29" i="11" s="1"/>
  <c r="D27" i="11" s="1"/>
  <c r="E104" i="43"/>
  <c r="D109" i="43"/>
  <c r="N107" i="43"/>
  <c r="C104" i="43"/>
  <c r="K102" i="43"/>
  <c r="K103" i="43"/>
  <c r="F104" i="43"/>
  <c r="D106" i="43"/>
  <c r="N105" i="43"/>
  <c r="J105" i="43"/>
  <c r="K105" i="43"/>
  <c r="F106" i="43"/>
  <c r="D22" i="43"/>
  <c r="C24" i="79"/>
  <c r="C53" i="79"/>
  <c r="C10" i="79"/>
  <c r="C5" i="79" s="1"/>
  <c r="C27" i="66"/>
  <c r="C30" i="66" s="1"/>
  <c r="D1" i="66"/>
  <c r="C103" i="43"/>
  <c r="J107" i="43"/>
  <c r="D104" i="43"/>
  <c r="N102" i="43"/>
  <c r="C106" i="43"/>
  <c r="I103" i="43"/>
  <c r="E107" i="43"/>
  <c r="D103" i="43"/>
  <c r="Q52" i="15"/>
  <c r="F1" i="15"/>
  <c r="C109" i="43"/>
  <c r="C102" i="43"/>
  <c r="J102" i="43"/>
  <c r="J106" i="43"/>
  <c r="I102" i="43"/>
  <c r="I104" i="43"/>
  <c r="E106" i="43"/>
  <c r="E103" i="43"/>
  <c r="D105" i="43"/>
  <c r="C47" i="11"/>
  <c r="D45" i="11" s="1"/>
  <c r="N103" i="43"/>
  <c r="C107" i="43"/>
  <c r="J109" i="43"/>
  <c r="I109" i="43"/>
  <c r="E109" i="43"/>
  <c r="D102" i="43"/>
  <c r="I107" i="43"/>
  <c r="D117" i="43"/>
  <c r="E117" i="43" s="1"/>
  <c r="F117" i="43" s="1"/>
  <c r="G117" i="43" s="1"/>
  <c r="H117" i="43" s="1"/>
  <c r="I117" i="43"/>
  <c r="J117" i="43" s="1"/>
  <c r="K117" i="43" s="1"/>
  <c r="L117" i="43" s="1"/>
  <c r="M117" i="43" s="1"/>
  <c r="B118" i="43"/>
  <c r="C118" i="43" s="1"/>
  <c r="I118" i="43"/>
  <c r="J118" i="43" s="1"/>
  <c r="K118" i="43" s="1"/>
  <c r="L118" i="43" s="1"/>
  <c r="M118" i="43" s="1"/>
  <c r="L107" i="43"/>
  <c r="L109" i="43"/>
  <c r="B115" i="43"/>
  <c r="C115" i="43" s="1"/>
  <c r="D118" i="43"/>
  <c r="E118" i="43" s="1"/>
  <c r="F118" i="43" s="1"/>
  <c r="G118" i="43"/>
  <c r="H118" i="43" s="1"/>
  <c r="L105" i="43"/>
  <c r="Q61" i="15"/>
  <c r="I116" i="43"/>
  <c r="J116" i="43" s="1"/>
  <c r="K116" i="43" s="1"/>
  <c r="L116" i="43" s="1"/>
  <c r="M116" i="43" s="1"/>
  <c r="I115" i="43"/>
  <c r="J115" i="43" s="1"/>
  <c r="K115" i="43" s="1"/>
  <c r="L115" i="43" s="1"/>
  <c r="M115" i="43" s="1"/>
  <c r="L102" i="43"/>
  <c r="C29" i="69"/>
  <c r="D27" i="69" s="1"/>
  <c r="C49" i="15"/>
  <c r="Q73" i="15"/>
  <c r="J6" i="15"/>
  <c r="J10" i="15" s="1"/>
  <c r="J5" i="15" s="1"/>
  <c r="M14" i="1"/>
  <c r="K16" i="1"/>
  <c r="C34" i="69"/>
  <c r="E61" i="39"/>
  <c r="E56" i="40"/>
  <c r="E60" i="40"/>
  <c r="E65" i="39"/>
  <c r="E3" i="6"/>
  <c r="AY6" i="3"/>
  <c r="E57" i="40"/>
  <c r="E62" i="39"/>
  <c r="E6" i="3"/>
  <c r="E64" i="39"/>
  <c r="E59" i="40"/>
  <c r="E58" i="40"/>
  <c r="E63" i="39"/>
  <c r="F27" i="6"/>
  <c r="F31" i="6" s="1"/>
  <c r="E56" i="39"/>
  <c r="E51" i="40"/>
  <c r="E16" i="6"/>
  <c r="H10" i="39"/>
  <c r="U10" i="39" s="1"/>
  <c r="H10" i="40"/>
  <c r="AB10" i="40" s="1"/>
  <c r="J10" i="39"/>
  <c r="W10" i="39" s="1"/>
  <c r="S2" i="43"/>
  <c r="S7" i="43"/>
  <c r="C23" i="43"/>
  <c r="C21" i="43" s="1"/>
  <c r="S4" i="43"/>
  <c r="S6" i="43"/>
  <c r="S3" i="43"/>
  <c r="S5" i="43"/>
  <c r="F10" i="40"/>
  <c r="AA10" i="40" s="1"/>
  <c r="J10" i="40"/>
  <c r="AC10" i="40" s="1"/>
  <c r="W7" i="37"/>
  <c r="AC7" i="37"/>
  <c r="V42" i="37" s="1"/>
  <c r="I42" i="37" s="1"/>
  <c r="I42" i="35"/>
  <c r="J42" i="35" s="1"/>
  <c r="G63" i="40"/>
  <c r="F65" i="40"/>
  <c r="G52" i="21"/>
  <c r="H52" i="21" s="1"/>
  <c r="F58" i="33"/>
  <c r="AB7" i="36"/>
  <c r="T36" i="36" s="1"/>
  <c r="G36" i="36" s="1"/>
  <c r="U7" i="36"/>
  <c r="R43" i="37"/>
  <c r="E42" i="37"/>
  <c r="G46" i="37"/>
  <c r="H46" i="37" s="1"/>
  <c r="G47" i="37"/>
  <c r="H47" i="37" s="1"/>
  <c r="E70" i="39"/>
  <c r="F68" i="39"/>
  <c r="F59" i="34"/>
  <c r="W7" i="36"/>
  <c r="AC7" i="36"/>
  <c r="V36" i="36" s="1"/>
  <c r="I36" i="36" s="1"/>
  <c r="E38" i="35"/>
  <c r="R39" i="35"/>
  <c r="S7" i="21"/>
  <c r="AA7" i="21"/>
  <c r="R48" i="21" s="1"/>
  <c r="G43" i="35"/>
  <c r="H43" i="35" s="1"/>
  <c r="G42" i="35"/>
  <c r="H42" i="35" s="1"/>
  <c r="AA10" i="39"/>
  <c r="S10" i="39"/>
  <c r="R37" i="36"/>
  <c r="E36" i="36"/>
  <c r="W7" i="21"/>
  <c r="AC7" i="21"/>
  <c r="V48" i="21" s="1"/>
  <c r="I48" i="21" s="1"/>
  <c r="G53" i="21" s="1"/>
  <c r="H53" i="21" s="1"/>
  <c r="C19" i="67"/>
  <c r="C20" i="67" s="1"/>
  <c r="C26" i="67" s="1"/>
  <c r="J24" i="67"/>
  <c r="J26" i="67"/>
  <c r="J29" i="67" s="1"/>
  <c r="J18" i="67"/>
  <c r="C53" i="67"/>
  <c r="C48" i="67" s="1"/>
  <c r="C10" i="67"/>
  <c r="C5" i="67" s="1"/>
  <c r="C53" i="15"/>
  <c r="C10" i="15"/>
  <c r="F24" i="67"/>
  <c r="C24" i="67" s="1"/>
  <c r="F22" i="68"/>
  <c r="F22" i="11"/>
  <c r="F22" i="69"/>
  <c r="F25" i="12"/>
  <c r="F24" i="15"/>
  <c r="C24" i="15" s="1"/>
  <c r="C16" i="79"/>
  <c r="F59" i="79"/>
  <c r="AE6" i="1"/>
  <c r="M17" i="79"/>
  <c r="J26" i="79" l="1"/>
  <c r="J18" i="79"/>
  <c r="C8" i="68"/>
  <c r="B29" i="1"/>
  <c r="J24" i="79"/>
  <c r="Q73" i="79"/>
  <c r="Q60" i="79"/>
  <c r="Q57" i="79"/>
  <c r="Q66" i="79"/>
  <c r="Q52" i="79"/>
  <c r="F1" i="79"/>
  <c r="C5" i="71"/>
  <c r="D5" i="71" s="1"/>
  <c r="M20" i="43" s="1"/>
  <c r="C19" i="43" s="1"/>
  <c r="D6" i="71"/>
  <c r="Q61" i="79"/>
  <c r="Q74" i="79"/>
  <c r="C49" i="79"/>
  <c r="C48" i="79" s="1"/>
  <c r="C47" i="68"/>
  <c r="D45" i="68" s="1"/>
  <c r="C32" i="79"/>
  <c r="C38" i="79"/>
  <c r="C33" i="79"/>
  <c r="C32" i="66"/>
  <c r="C31" i="66"/>
  <c r="AB10" i="39"/>
  <c r="C48" i="15"/>
  <c r="C66" i="15" s="1"/>
  <c r="D113" i="43"/>
  <c r="J22" i="43" s="1"/>
  <c r="E27" i="6"/>
  <c r="J18" i="15"/>
  <c r="J26" i="15"/>
  <c r="J24" i="15"/>
  <c r="O14" i="1"/>
  <c r="M16" i="1"/>
  <c r="N16" i="1" s="1"/>
  <c r="C38" i="69"/>
  <c r="C35" i="69"/>
  <c r="AC10" i="39"/>
  <c r="D3" i="21"/>
  <c r="D3" i="37"/>
  <c r="E6" i="6"/>
  <c r="D37" i="11"/>
  <c r="C37" i="11" s="1"/>
  <c r="D3" i="34"/>
  <c r="L18" i="9"/>
  <c r="D3" i="33"/>
  <c r="C17" i="4"/>
  <c r="B4" i="52" s="1"/>
  <c r="B43" i="72" s="1"/>
  <c r="D14" i="12"/>
  <c r="M18" i="9"/>
  <c r="B118" i="9" s="1"/>
  <c r="B14" i="74" s="1"/>
  <c r="B1" i="74" s="1"/>
  <c r="D19" i="11"/>
  <c r="C19" i="11" s="1"/>
  <c r="E66" i="39"/>
  <c r="AY51" i="3"/>
  <c r="AY59" i="3"/>
  <c r="AY284" i="3"/>
  <c r="AY473" i="3"/>
  <c r="AY245" i="3"/>
  <c r="AY478" i="3"/>
  <c r="AY533" i="3"/>
  <c r="AY45" i="3"/>
  <c r="AY201" i="3"/>
  <c r="AY118" i="3"/>
  <c r="AY231" i="3"/>
  <c r="AY381" i="3"/>
  <c r="AY104" i="3"/>
  <c r="AY177" i="3"/>
  <c r="AY210" i="3"/>
  <c r="AY332" i="3"/>
  <c r="AY457" i="3"/>
  <c r="AY435" i="3"/>
  <c r="AY580" i="3"/>
  <c r="AY546" i="3"/>
  <c r="AY508" i="3"/>
  <c r="AY523" i="3"/>
  <c r="AY37" i="3"/>
  <c r="AY122" i="3"/>
  <c r="AY250" i="3"/>
  <c r="AY345" i="3"/>
  <c r="AY304" i="3"/>
  <c r="AY445" i="3"/>
  <c r="AY423" i="3"/>
  <c r="AY564" i="3"/>
  <c r="AY551" i="3"/>
  <c r="BA6" i="3"/>
  <c r="AY30" i="3"/>
  <c r="AY151" i="3"/>
  <c r="AY264" i="3"/>
  <c r="AY347" i="3"/>
  <c r="AY451" i="3"/>
  <c r="AY500" i="3"/>
  <c r="AY512" i="3"/>
  <c r="AY102" i="3"/>
  <c r="AY22" i="3"/>
  <c r="AY164" i="3"/>
  <c r="AY160" i="3"/>
  <c r="AY58" i="3"/>
  <c r="AY428" i="3"/>
  <c r="AY372" i="3"/>
  <c r="AY573" i="3"/>
  <c r="AY60" i="3"/>
  <c r="AY138" i="3"/>
  <c r="AY263" i="3"/>
  <c r="AY357" i="3"/>
  <c r="AY24" i="3"/>
  <c r="AY491" i="3"/>
  <c r="AY438" i="3"/>
  <c r="AY525" i="3"/>
  <c r="AY518" i="3"/>
  <c r="AY514" i="3"/>
  <c r="AY64" i="3"/>
  <c r="AY385" i="3"/>
  <c r="AY328" i="3"/>
  <c r="AY442" i="3"/>
  <c r="AY505" i="3"/>
  <c r="AY110" i="3"/>
  <c r="AY187" i="3"/>
  <c r="AY265" i="3"/>
  <c r="AY408" i="3"/>
  <c r="AY528" i="3"/>
  <c r="AY200" i="3"/>
  <c r="AY136" i="3"/>
  <c r="AY386" i="3"/>
  <c r="AY474" i="3"/>
  <c r="AY566" i="3"/>
  <c r="AY124" i="3"/>
  <c r="AY497" i="3"/>
  <c r="AY553" i="3"/>
  <c r="AY149" i="3"/>
  <c r="AY554" i="3"/>
  <c r="AY377" i="3"/>
  <c r="AY103" i="3"/>
  <c r="AY183" i="3"/>
  <c r="AY371" i="3"/>
  <c r="AY26" i="3"/>
  <c r="AY420" i="3"/>
  <c r="AY108" i="3"/>
  <c r="AY206" i="3"/>
  <c r="AY299" i="3"/>
  <c r="AY214" i="3"/>
  <c r="BJ6" i="3"/>
  <c r="AY114" i="3"/>
  <c r="AY349" i="3"/>
  <c r="AY480" i="3"/>
  <c r="AY419" i="3"/>
  <c r="BN6" i="3"/>
  <c r="AY16" i="3"/>
  <c r="AY96" i="3"/>
  <c r="AY174" i="3"/>
  <c r="AY235" i="3"/>
  <c r="AY321" i="3"/>
  <c r="AY484" i="3"/>
  <c r="AY402" i="3"/>
  <c r="AY522" i="3"/>
  <c r="AY548" i="3"/>
  <c r="AY78" i="3"/>
  <c r="AY127" i="3"/>
  <c r="AY394" i="3"/>
  <c r="AY482" i="3"/>
  <c r="AY13" i="3"/>
  <c r="AY587" i="3"/>
  <c r="AY70" i="3"/>
  <c r="AY175" i="3"/>
  <c r="AY288" i="3"/>
  <c r="AY240" i="3"/>
  <c r="AY367" i="3"/>
  <c r="AY306" i="3"/>
  <c r="AY432" i="3"/>
  <c r="AY521" i="3"/>
  <c r="BT6" i="3"/>
  <c r="AY23" i="3"/>
  <c r="AY281" i="3"/>
  <c r="AY319" i="3"/>
  <c r="AY212" i="3"/>
  <c r="AY513" i="3"/>
  <c r="AY77" i="3"/>
  <c r="AY170" i="3"/>
  <c r="AY294" i="3"/>
  <c r="AY392" i="3"/>
  <c r="AY41" i="3"/>
  <c r="AY290" i="3"/>
  <c r="AY317" i="3"/>
  <c r="AY454" i="3"/>
  <c r="AY581" i="3"/>
  <c r="AY536" i="3"/>
  <c r="AY532" i="3"/>
  <c r="AY49" i="3"/>
  <c r="AY169" i="3"/>
  <c r="AY223" i="3"/>
  <c r="AY305" i="3"/>
  <c r="AY461" i="3"/>
  <c r="AY399" i="3"/>
  <c r="AY502" i="3"/>
  <c r="BP6" i="3"/>
  <c r="AY19" i="3"/>
  <c r="AY296" i="3"/>
  <c r="AY376" i="3"/>
  <c r="AY424" i="3"/>
  <c r="AY517" i="3"/>
  <c r="AY107" i="3"/>
  <c r="AY27" i="3"/>
  <c r="AY143" i="3"/>
  <c r="AY273" i="3"/>
  <c r="AY208" i="3"/>
  <c r="AY339" i="3"/>
  <c r="AY477" i="3"/>
  <c r="AY416" i="3"/>
  <c r="BC6" i="3"/>
  <c r="AY567" i="3"/>
  <c r="AY274" i="3"/>
  <c r="AY113" i="3"/>
  <c r="AY537" i="3"/>
  <c r="AY315" i="3"/>
  <c r="AY71" i="3"/>
  <c r="AY257" i="3"/>
  <c r="AY323" i="3"/>
  <c r="AY413" i="3"/>
  <c r="AY498" i="3"/>
  <c r="AY236" i="3"/>
  <c r="AY342" i="3"/>
  <c r="AY28" i="3"/>
  <c r="AY246" i="3"/>
  <c r="AY197" i="3"/>
  <c r="AY467" i="3"/>
  <c r="AY561" i="3"/>
  <c r="AY282" i="3"/>
  <c r="AY499" i="3"/>
  <c r="AY216" i="3"/>
  <c r="AY39" i="3"/>
  <c r="AY375" i="3"/>
  <c r="AY583" i="3"/>
  <c r="AY550" i="3"/>
  <c r="AY552" i="3"/>
  <c r="AY361" i="3"/>
  <c r="BR6" i="3"/>
  <c r="AY314" i="3"/>
  <c r="AY179" i="3"/>
  <c r="AY307" i="3"/>
  <c r="AY577" i="3"/>
  <c r="AY479" i="3"/>
  <c r="AY79" i="3"/>
  <c r="AY421" i="3"/>
  <c r="AY119" i="3"/>
  <c r="AY443" i="3"/>
  <c r="AY414" i="3"/>
  <c r="AY205" i="3"/>
  <c r="AY418" i="3"/>
  <c r="AY140" i="3"/>
  <c r="AY568" i="3"/>
  <c r="AY256" i="3"/>
  <c r="AY82" i="3"/>
  <c r="AY132" i="3"/>
  <c r="AY292" i="3"/>
  <c r="AY220" i="3"/>
  <c r="AY486" i="3"/>
  <c r="AY199" i="3"/>
  <c r="AY355" i="3"/>
  <c r="AY404" i="3"/>
  <c r="BO6" i="3"/>
  <c r="AY196" i="3"/>
  <c r="AY152" i="3"/>
  <c r="AY225" i="3"/>
  <c r="AY412" i="3"/>
  <c r="AY217" i="3"/>
  <c r="AY433" i="3"/>
  <c r="AY105" i="3"/>
  <c r="AY52" i="3"/>
  <c r="AY162" i="3"/>
  <c r="AY291" i="3"/>
  <c r="AY238" i="3"/>
  <c r="AY368" i="3"/>
  <c r="AY72" i="3"/>
  <c r="AY121" i="3"/>
  <c r="AY370" i="3"/>
  <c r="AY83" i="3"/>
  <c r="AY289" i="3"/>
  <c r="AY168" i="3"/>
  <c r="AY318" i="3"/>
  <c r="AY116" i="3"/>
  <c r="AY310" i="3"/>
  <c r="AY569"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34" i="3"/>
  <c r="AY252" i="3"/>
  <c r="AY228" i="3"/>
  <c r="BE6" i="3"/>
  <c r="AY178" i="3"/>
  <c r="AY254" i="3"/>
  <c r="AY57" i="3"/>
  <c r="AY393" i="3"/>
  <c r="AY449" i="3"/>
  <c r="AY516" i="3"/>
  <c r="AY584" i="3"/>
  <c r="AY21" i="3"/>
  <c r="AY218" i="3"/>
  <c r="AY487" i="3"/>
  <c r="AY415" i="3"/>
  <c r="AY530" i="3"/>
  <c r="AY35" i="3"/>
  <c r="AY248" i="3"/>
  <c r="AY440" i="3"/>
  <c r="AY86" i="3"/>
  <c r="AY293" i="3"/>
  <c r="AY322" i="3"/>
  <c r="AY18" i="3"/>
  <c r="AY31" i="3"/>
  <c r="AY237" i="3"/>
  <c r="AY444" i="3"/>
  <c r="AY244" i="3"/>
  <c r="AY447" i="3"/>
  <c r="AY555" i="3"/>
  <c r="AY115" i="3"/>
  <c r="AY253" i="3"/>
  <c r="AY529" i="3"/>
  <c r="AY326" i="3"/>
  <c r="AY541" i="3"/>
  <c r="AY20" i="3"/>
  <c r="AY141" i="3"/>
  <c r="AY270" i="3"/>
  <c r="AY507" i="3"/>
  <c r="AY181" i="3"/>
  <c r="AY215" i="3"/>
  <c r="AY50" i="3"/>
  <c r="AY131" i="3"/>
  <c r="AY366" i="3"/>
  <c r="AY260" i="3"/>
  <c r="AY417" i="3"/>
  <c r="AY92" i="3"/>
  <c r="AY185" i="3"/>
  <c r="AY283" i="3"/>
  <c r="AY219" i="3"/>
  <c r="AY73" i="3"/>
  <c r="AY295" i="3"/>
  <c r="AY333" i="3"/>
  <c r="AY430" i="3"/>
  <c r="AY534" i="3"/>
  <c r="AY494" i="3"/>
  <c r="AY158" i="3"/>
  <c r="AY380" i="3"/>
  <c r="AY471" i="3"/>
  <c r="AY506" i="3"/>
  <c r="AY570" i="3"/>
  <c r="AY192" i="3"/>
  <c r="AY378" i="3"/>
  <c r="AY437" i="3"/>
  <c r="AY55" i="3"/>
  <c r="AY241" i="3"/>
  <c r="AY490" i="3"/>
  <c r="AY586" i="3"/>
  <c r="AY335" i="3"/>
  <c r="AY436" i="3"/>
  <c r="AY25" i="3"/>
  <c r="AY211" i="3"/>
  <c r="AY130" i="3"/>
  <c r="AY488" i="3"/>
  <c r="BF6" i="3"/>
  <c r="AY112" i="3"/>
  <c r="AY267" i="3"/>
  <c r="AY476" i="3"/>
  <c r="D3" i="6"/>
  <c r="C38" i="39" s="1"/>
  <c r="AY47" i="3"/>
  <c r="AY383" i="3"/>
  <c r="AY547" i="3"/>
  <c r="AY159" i="3"/>
  <c r="AY459" i="3"/>
  <c r="AY67" i="3"/>
  <c r="AY297" i="3"/>
  <c r="AY300" i="3"/>
  <c r="AY540" i="3"/>
  <c r="AY182" i="3"/>
  <c r="AY239" i="3"/>
  <c r="AY93" i="3"/>
  <c r="AY226" i="3"/>
  <c r="AY464" i="3"/>
  <c r="BM6" i="3"/>
  <c r="AY543" i="3"/>
  <c r="AY32" i="3"/>
  <c r="AY266" i="3"/>
  <c r="AY320" i="3"/>
  <c r="AY431" i="3"/>
  <c r="AY509" i="3"/>
  <c r="AY62" i="3"/>
  <c r="AY233" i="3"/>
  <c r="AY466" i="3"/>
  <c r="AY191" i="3"/>
  <c r="AY163" i="3"/>
  <c r="AY387" i="3"/>
  <c r="AY425" i="3"/>
  <c r="AY390" i="3"/>
  <c r="AY535" i="3"/>
  <c r="AY87" i="3"/>
  <c r="AY74" i="3"/>
  <c r="AY363" i="3"/>
  <c r="AY180" i="3"/>
  <c r="AY463" i="3"/>
  <c r="AY100" i="3"/>
  <c r="AY198" i="3"/>
  <c r="AY134" i="3"/>
  <c r="AY227" i="3"/>
  <c r="BB6" i="3"/>
  <c r="AY161" i="3"/>
  <c r="AY341" i="3"/>
  <c r="AY207" i="3"/>
  <c r="AY261" i="3"/>
  <c r="AY455" i="3"/>
  <c r="AY395" i="3"/>
  <c r="AY549" i="3"/>
  <c r="AY76" i="3"/>
  <c r="AY154" i="3"/>
  <c r="AY278" i="3"/>
  <c r="AY374" i="3"/>
  <c r="AY56" i="3"/>
  <c r="AY259" i="3"/>
  <c r="AY316" i="3"/>
  <c r="AY398" i="3"/>
  <c r="AY571" i="3"/>
  <c r="AY101" i="3"/>
  <c r="AY137" i="3"/>
  <c r="AY364" i="3"/>
  <c r="AY458" i="3"/>
  <c r="AY14" i="3"/>
  <c r="AY578" i="3"/>
  <c r="AY135" i="3"/>
  <c r="AY362" i="3"/>
  <c r="AY558" i="3"/>
  <c r="AY184" i="3"/>
  <c r="AY224" i="3"/>
  <c r="AY448" i="3"/>
  <c r="AY139" i="3"/>
  <c r="AY460" i="3"/>
  <c r="BK6" i="3"/>
  <c r="AY157" i="3"/>
  <c r="AY365" i="3"/>
  <c r="AY243" i="3"/>
  <c r="AY422" i="3"/>
  <c r="AY520" i="3"/>
  <c r="AY80" i="3"/>
  <c r="AY369" i="3"/>
  <c r="AY450" i="3"/>
  <c r="AY515" i="3"/>
  <c r="AY172" i="3"/>
  <c r="AY331" i="3"/>
  <c r="AY576" i="3"/>
  <c r="AY272" i="3"/>
  <c r="AY400" i="3"/>
  <c r="AY176" i="3"/>
  <c r="AY382" i="3"/>
  <c r="AY379" i="3"/>
  <c r="AY89" i="3"/>
  <c r="AY146" i="3"/>
  <c r="AY222" i="3"/>
  <c r="AY40" i="3"/>
  <c r="AY356" i="3"/>
  <c r="AY446" i="3"/>
  <c r="AY572" i="3"/>
  <c r="AY556" i="3"/>
  <c r="AY189" i="3"/>
  <c r="AY396" i="3"/>
  <c r="AY492" i="3"/>
  <c r="AY579" i="3"/>
  <c r="AY545" i="3"/>
  <c r="AY203" i="3"/>
  <c r="AY221" i="3"/>
  <c r="AY98" i="3"/>
  <c r="AY147" i="3"/>
  <c r="AY269" i="3"/>
  <c r="AY574" i="3"/>
  <c r="AY204" i="3"/>
  <c r="AY358" i="3"/>
  <c r="AY84" i="3"/>
  <c r="AY255" i="3"/>
  <c r="AY29" i="3"/>
  <c r="AY324" i="3"/>
  <c r="AY209" i="3"/>
  <c r="AY452" i="3"/>
  <c r="AY33" i="3"/>
  <c r="AY230" i="3"/>
  <c r="AY145" i="3"/>
  <c r="AY472" i="3"/>
  <c r="AY501" i="3"/>
  <c r="AY234" i="3"/>
  <c r="AY439" i="3"/>
  <c r="AY46" i="3"/>
  <c r="AY456" i="3"/>
  <c r="AY128" i="3"/>
  <c r="AY511" i="3"/>
  <c r="AY327" i="3"/>
  <c r="AY271" i="3"/>
  <c r="AY308" i="3"/>
  <c r="AY496" i="3"/>
  <c r="AY336" i="3"/>
  <c r="AY493" i="3"/>
  <c r="AY405" i="3"/>
  <c r="AY351" i="3"/>
  <c r="AY123" i="3"/>
  <c r="AY401" i="3"/>
  <c r="AY302" i="3"/>
  <c r="AY279" i="3"/>
  <c r="AY403" i="3"/>
  <c r="AY81" i="3"/>
  <c r="AY313" i="3"/>
  <c r="AY575" i="3"/>
  <c r="AY301" i="3"/>
  <c r="AY90" i="3"/>
  <c r="AY334" i="3"/>
  <c r="AY144" i="3"/>
  <c r="AY470" i="3"/>
  <c r="AY544" i="3"/>
  <c r="AY173" i="3"/>
  <c r="AY373" i="3"/>
  <c r="AY258" i="3"/>
  <c r="AY42" i="3"/>
  <c r="AY97" i="3"/>
  <c r="AY125" i="3"/>
  <c r="BH6" i="3"/>
  <c r="AY353" i="3"/>
  <c r="AY48" i="3"/>
  <c r="AY312" i="3"/>
  <c r="AY542" i="3"/>
  <c r="AY91" i="3"/>
  <c r="AY338" i="3"/>
  <c r="AY68" i="3"/>
  <c r="AY503" i="3"/>
  <c r="AY17" i="3"/>
  <c r="AY195" i="3"/>
  <c r="AY409" i="3"/>
  <c r="BS6" i="3"/>
  <c r="AY510" i="3"/>
  <c r="AY434" i="3"/>
  <c r="AY330" i="3"/>
  <c r="AY229" i="3"/>
  <c r="AY268" i="3"/>
  <c r="AY44" i="3"/>
  <c r="AY202" i="3"/>
  <c r="BG6" i="3"/>
  <c r="AY426" i="3"/>
  <c r="AY346" i="3"/>
  <c r="AY148" i="3"/>
  <c r="AY43" i="3"/>
  <c r="AY325" i="3"/>
  <c r="AY337" i="3"/>
  <c r="AY485" i="3"/>
  <c r="AY95" i="3"/>
  <c r="AY126" i="3"/>
  <c r="AY406" i="3"/>
  <c r="AY352" i="3"/>
  <c r="AY167" i="3"/>
  <c r="AY171" i="3"/>
  <c r="AY350" i="3"/>
  <c r="AY311" i="3"/>
  <c r="AY66" i="3"/>
  <c r="AY303" i="3"/>
  <c r="AY557" i="3"/>
  <c r="AY193" i="3"/>
  <c r="AY384" i="3"/>
  <c r="AY275" i="3"/>
  <c r="AY155" i="3"/>
  <c r="AY441" i="3"/>
  <c r="AY539" i="3"/>
  <c r="AY165" i="3"/>
  <c r="AY360" i="3"/>
  <c r="AY388" i="3"/>
  <c r="AY411" i="3"/>
  <c r="AY65" i="3"/>
  <c r="AY344" i="3"/>
  <c r="AY524" i="3"/>
  <c r="AY285" i="3"/>
  <c r="BL6" i="3"/>
  <c r="AY391" i="3"/>
  <c r="AY188" i="3"/>
  <c r="AY85" i="3"/>
  <c r="BI6" i="3"/>
  <c r="AY427" i="3"/>
  <c r="AY142" i="3"/>
  <c r="AY410" i="3"/>
  <c r="AY120" i="3"/>
  <c r="AY54" i="3"/>
  <c r="AY15" i="3"/>
  <c r="AY489" i="3"/>
  <c r="AY53" i="3"/>
  <c r="AY389" i="3"/>
  <c r="AY340" i="3"/>
  <c r="AY527" i="3"/>
  <c r="AY153" i="3"/>
  <c r="AY453" i="3"/>
  <c r="AY563" i="3"/>
  <c r="AY359" i="3"/>
  <c r="AY481" i="3"/>
  <c r="AY106" i="3"/>
  <c r="AY585" i="3"/>
  <c r="AY249" i="3"/>
  <c r="AY111" i="3"/>
  <c r="AY186" i="3"/>
  <c r="AY129" i="3"/>
  <c r="AY280" i="3"/>
  <c r="AY504" i="3"/>
  <c r="AY36" i="3"/>
  <c r="AY483" i="3"/>
  <c r="AY298" i="3"/>
  <c r="AY94" i="3"/>
  <c r="AY75" i="3"/>
  <c r="AY526" i="3"/>
  <c r="AY562" i="3"/>
  <c r="AY276" i="3"/>
  <c r="AY69" i="3"/>
  <c r="AY286" i="3"/>
  <c r="AY88" i="3"/>
  <c r="AY309" i="3"/>
  <c r="AY343" i="3"/>
  <c r="AY262" i="3"/>
  <c r="AY475" i="3"/>
  <c r="AY287" i="3"/>
  <c r="AY63" i="3"/>
  <c r="BD6" i="3"/>
  <c r="AY117" i="3"/>
  <c r="AY559" i="3"/>
  <c r="AY531" i="3"/>
  <c r="AY213" i="3"/>
  <c r="AY465" i="3"/>
  <c r="AY150" i="3"/>
  <c r="AY519" i="3"/>
  <c r="AY538" i="3"/>
  <c r="S10" i="40"/>
  <c r="U10" i="40"/>
  <c r="W10" i="40"/>
  <c r="E42" i="35"/>
  <c r="F42" i="35" s="1"/>
  <c r="E43" i="35"/>
  <c r="F43" i="35" s="1"/>
  <c r="I40" i="36"/>
  <c r="J40" i="36" s="1"/>
  <c r="I41" i="36"/>
  <c r="J41" i="36" s="1"/>
  <c r="G59" i="34"/>
  <c r="H59" i="34" s="1"/>
  <c r="I59" i="34" s="1"/>
  <c r="J59" i="34" s="1"/>
  <c r="K59" i="34" s="1"/>
  <c r="L59" i="34" s="1"/>
  <c r="M59" i="34" s="1"/>
  <c r="N59" i="34" s="1"/>
  <c r="O59" i="34" s="1"/>
  <c r="F7" i="34"/>
  <c r="H7" i="34"/>
  <c r="G41" i="36"/>
  <c r="H41" i="36" s="1"/>
  <c r="G40" i="36"/>
  <c r="H40" i="36" s="1"/>
  <c r="I43" i="35"/>
  <c r="J43" i="35" s="1"/>
  <c r="E41" i="36"/>
  <c r="F41" i="36" s="1"/>
  <c r="E40" i="36"/>
  <c r="F40" i="36" s="1"/>
  <c r="C42" i="37"/>
  <c r="C43" i="37"/>
  <c r="I47" i="37"/>
  <c r="J47" i="37" s="1"/>
  <c r="I46" i="37"/>
  <c r="J46" i="37" s="1"/>
  <c r="G68" i="39"/>
  <c r="F70" i="39"/>
  <c r="E46" i="37"/>
  <c r="F46" i="37" s="1"/>
  <c r="E47" i="37"/>
  <c r="F47" i="37" s="1"/>
  <c r="C37" i="36"/>
  <c r="B2" i="36" s="1"/>
  <c r="B3" i="36" s="1"/>
  <c r="C36" i="36"/>
  <c r="I52" i="21"/>
  <c r="J52" i="21" s="1"/>
  <c r="E48" i="21"/>
  <c r="I53" i="21" s="1"/>
  <c r="J53" i="21" s="1"/>
  <c r="R49" i="21"/>
  <c r="C39" i="35"/>
  <c r="B2" i="35" s="1"/>
  <c r="B3" i="35" s="1"/>
  <c r="C38" i="35"/>
  <c r="J7" i="34"/>
  <c r="G58" i="33"/>
  <c r="H63" i="40"/>
  <c r="G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3" i="67"/>
  <c r="C29" i="67" s="1"/>
  <c r="C60" i="67"/>
  <c r="C66" i="67"/>
  <c r="C44" i="69"/>
  <c r="D41" i="69" s="1"/>
  <c r="C26" i="69"/>
  <c r="D22" i="69" s="1"/>
  <c r="C38" i="67"/>
  <c r="C32" i="67"/>
  <c r="AE7" i="1"/>
  <c r="F41" i="79" s="1"/>
  <c r="F41" i="15"/>
  <c r="C60" i="79" l="1"/>
  <c r="C66" i="79"/>
  <c r="F69" i="79"/>
  <c r="J29" i="79"/>
  <c r="E26" i="66"/>
  <c r="U6" i="1" s="1"/>
  <c r="H38" i="39"/>
  <c r="F38" i="39"/>
  <c r="J38" i="39"/>
  <c r="F69" i="15"/>
  <c r="J29" i="15"/>
  <c r="C60" i="15"/>
  <c r="K23" i="6"/>
  <c r="M23" i="6" s="1"/>
  <c r="I23" i="6" s="1"/>
  <c r="S23" i="6" s="1"/>
  <c r="K21" i="6"/>
  <c r="M21" i="6" s="1"/>
  <c r="I21" i="6" s="1"/>
  <c r="S21" i="6" s="1"/>
  <c r="E31" i="6"/>
  <c r="K26" i="6"/>
  <c r="M26" i="6" s="1"/>
  <c r="I26" i="6" s="1"/>
  <c r="S26" i="6" s="1"/>
  <c r="K25" i="6"/>
  <c r="M25" i="6" s="1"/>
  <c r="I25" i="6" s="1"/>
  <c r="S25" i="6" s="1"/>
  <c r="K19" i="6"/>
  <c r="K22" i="6"/>
  <c r="M22" i="6" s="1"/>
  <c r="I22" i="6" s="1"/>
  <c r="S22" i="6" s="1"/>
  <c r="K24" i="6"/>
  <c r="M24" i="6" s="1"/>
  <c r="I24" i="6" s="1"/>
  <c r="S24" i="6" s="1"/>
  <c r="K20" i="6"/>
  <c r="C34" i="68"/>
  <c r="C34" i="11"/>
  <c r="L16" i="1"/>
  <c r="F50" i="69"/>
  <c r="F50" i="68"/>
  <c r="F50" i="11"/>
  <c r="P14" i="1"/>
  <c r="P16" i="1" s="1"/>
  <c r="C11" i="12" s="1"/>
  <c r="O16" i="1"/>
  <c r="B2" i="37"/>
  <c r="B3" i="37" s="1"/>
  <c r="C20" i="11"/>
  <c r="C25" i="11" s="1"/>
  <c r="D10" i="11"/>
  <c r="C10" i="11" s="1"/>
  <c r="D10" i="69"/>
  <c r="D20" i="12"/>
  <c r="C20" i="12" s="1"/>
  <c r="C18" i="12" s="1"/>
  <c r="D10" i="68"/>
  <c r="D19" i="6"/>
  <c r="D10" i="6"/>
  <c r="M19" i="9"/>
  <c r="C118" i="9" s="1"/>
  <c r="C14" i="74" s="1"/>
  <c r="B2" i="74" s="1"/>
  <c r="H23" i="6"/>
  <c r="D26" i="6"/>
  <c r="D15" i="6"/>
  <c r="D23" i="6"/>
  <c r="D21" i="6"/>
  <c r="D12" i="6"/>
  <c r="D25" i="6"/>
  <c r="D8" i="6"/>
  <c r="D29" i="6"/>
  <c r="C18" i="4"/>
  <c r="D11" i="6"/>
  <c r="D5" i="6"/>
  <c r="L19" i="9"/>
  <c r="H25" i="6"/>
  <c r="D22" i="6"/>
  <c r="D20" i="6"/>
  <c r="D9" i="6"/>
  <c r="D13" i="6"/>
  <c r="D14" i="6"/>
  <c r="D24" i="6"/>
  <c r="D6" i="6"/>
  <c r="D28" i="6"/>
  <c r="E61" i="40"/>
  <c r="C7" i="74"/>
  <c r="C8" i="74"/>
  <c r="C24" i="11"/>
  <c r="D17" i="12"/>
  <c r="C17" i="12" s="1"/>
  <c r="C14" i="12"/>
  <c r="I63" i="40"/>
  <c r="H65" i="40"/>
  <c r="H58" i="33"/>
  <c r="I58" i="33" s="1"/>
  <c r="J58" i="33" s="1"/>
  <c r="K58" i="33" s="1"/>
  <c r="L58" i="33" s="1"/>
  <c r="M58" i="33" s="1"/>
  <c r="N58" i="33" s="1"/>
  <c r="O58" i="33" s="1"/>
  <c r="C48" i="21"/>
  <c r="C49" i="21"/>
  <c r="B2" i="21" s="1"/>
  <c r="B3" i="21" s="1"/>
  <c r="W7" i="34"/>
  <c r="AC7" i="34"/>
  <c r="V49" i="34" s="1"/>
  <c r="I49" i="34" s="1"/>
  <c r="E52" i="21"/>
  <c r="F52" i="21" s="1"/>
  <c r="E53" i="21"/>
  <c r="F53" i="21" s="1"/>
  <c r="H68" i="39"/>
  <c r="G70" i="39"/>
  <c r="U7" i="34"/>
  <c r="AB7" i="34"/>
  <c r="T49" i="34" s="1"/>
  <c r="G49" i="34" s="1"/>
  <c r="S7" i="34"/>
  <c r="AA7" i="34"/>
  <c r="R49" i="34" s="1"/>
  <c r="J7" i="33"/>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C31" i="67" s="1"/>
  <c r="J14" i="67"/>
  <c r="C57" i="67"/>
  <c r="C13" i="67"/>
  <c r="J19" i="67"/>
  <c r="J17" i="67" s="1"/>
  <c r="Q49" i="67"/>
  <c r="C36" i="67"/>
  <c r="J59" i="67"/>
  <c r="J60" i="67" s="1"/>
  <c r="F6" i="15"/>
  <c r="F7" i="33" l="1"/>
  <c r="D30" i="6"/>
  <c r="C6" i="15"/>
  <c r="C5" i="15"/>
  <c r="C38" i="15" s="1"/>
  <c r="AA38" i="39"/>
  <c r="S38" i="39"/>
  <c r="W38" i="39"/>
  <c r="AC38" i="39"/>
  <c r="AB38" i="39"/>
  <c r="U38" i="39"/>
  <c r="C22" i="11"/>
  <c r="D27" i="6"/>
  <c r="D31" i="6" s="1"/>
  <c r="I6" i="6" s="1"/>
  <c r="C11" i="39" s="1"/>
  <c r="D16" i="6"/>
  <c r="H24" i="6"/>
  <c r="R24" i="6" s="1"/>
  <c r="H26" i="6"/>
  <c r="R26" i="6" s="1"/>
  <c r="H22" i="6"/>
  <c r="R22" i="6" s="1"/>
  <c r="M20" i="6"/>
  <c r="I20" i="6" s="1"/>
  <c r="S7" i="1"/>
  <c r="H21" i="6"/>
  <c r="R21" i="6" s="1"/>
  <c r="S6" i="1"/>
  <c r="K27" i="6"/>
  <c r="M19" i="6"/>
  <c r="C38" i="11"/>
  <c r="C35" i="11"/>
  <c r="C15" i="12"/>
  <c r="C12" i="12"/>
  <c r="C38" i="68"/>
  <c r="C35" i="68"/>
  <c r="R25" i="6"/>
  <c r="C10" i="68"/>
  <c r="H9" i="68" s="1"/>
  <c r="D19" i="68"/>
  <c r="C28" i="11"/>
  <c r="C27" i="11" s="1"/>
  <c r="A10" i="51"/>
  <c r="B9" i="72" s="1"/>
  <c r="A7" i="51"/>
  <c r="B7" i="72" s="1"/>
  <c r="C4" i="52"/>
  <c r="B45" i="72" s="1"/>
  <c r="C10" i="69"/>
  <c r="C8" i="69" s="1"/>
  <c r="C5" i="69" s="1"/>
  <c r="D19" i="69"/>
  <c r="R23" i="6"/>
  <c r="D7" i="74"/>
  <c r="D8" i="74"/>
  <c r="AA7" i="33"/>
  <c r="R48" i="33" s="1"/>
  <c r="S7" i="33"/>
  <c r="J63" i="40"/>
  <c r="I65" i="40"/>
  <c r="I68" i="39"/>
  <c r="H70" i="39"/>
  <c r="H7" i="33"/>
  <c r="AC7" i="33"/>
  <c r="V48" i="33" s="1"/>
  <c r="I48" i="33" s="1"/>
  <c r="W7" i="33"/>
  <c r="E49" i="34"/>
  <c r="I54" i="34" s="1"/>
  <c r="J54" i="34" s="1"/>
  <c r="R50" i="34"/>
  <c r="I53" i="34"/>
  <c r="J53" i="34" s="1"/>
  <c r="G54" i="34"/>
  <c r="H54" i="34" s="1"/>
  <c r="G53" i="34"/>
  <c r="H53" i="34" s="1"/>
  <c r="C26" i="43"/>
  <c r="B2" i="43" s="1"/>
  <c r="C27" i="43"/>
  <c r="Q48" i="67"/>
  <c r="L46" i="67"/>
  <c r="C75" i="67"/>
  <c r="C37" i="67"/>
  <c r="C30" i="67" s="1"/>
  <c r="C39" i="67" s="1"/>
  <c r="Q70" i="67"/>
  <c r="C56" i="67"/>
  <c r="C65" i="67" s="1"/>
  <c r="J13" i="67"/>
  <c r="J23" i="67" s="1"/>
  <c r="J22" i="67"/>
  <c r="C61" i="67"/>
  <c r="C59" i="67" s="1"/>
  <c r="C64" i="67"/>
  <c r="C17" i="15"/>
  <c r="C17" i="79"/>
  <c r="E6" i="76"/>
  <c r="F31" i="15"/>
  <c r="B6" i="76"/>
  <c r="E7" i="70" l="1"/>
  <c r="C32" i="15"/>
  <c r="F11" i="39"/>
  <c r="H11" i="39"/>
  <c r="J11" i="39"/>
  <c r="E6" i="70"/>
  <c r="E2" i="70" s="1"/>
  <c r="C31" i="11"/>
  <c r="C33" i="11"/>
  <c r="C42" i="11" s="1"/>
  <c r="I19" i="6"/>
  <c r="M27" i="6"/>
  <c r="AQ7" i="1"/>
  <c r="AR7" i="1"/>
  <c r="T7" i="1"/>
  <c r="S20" i="6"/>
  <c r="H20" i="6"/>
  <c r="R20" i="6" s="1"/>
  <c r="R7" i="1" s="1"/>
  <c r="AQ6" i="1"/>
  <c r="AR6" i="1"/>
  <c r="S16" i="1"/>
  <c r="T6" i="1"/>
  <c r="C16" i="12"/>
  <c r="C21" i="12" s="1"/>
  <c r="C22" i="12" s="1"/>
  <c r="C30" i="12" s="1"/>
  <c r="C28" i="12" s="1"/>
  <c r="I5" i="6"/>
  <c r="C19" i="69"/>
  <c r="C24" i="69" s="1"/>
  <c r="D37" i="69"/>
  <c r="C37" i="69" s="1"/>
  <c r="C33" i="69" s="1"/>
  <c r="C19" i="68"/>
  <c r="D37" i="68"/>
  <c r="C37" i="68" s="1"/>
  <c r="C33" i="68" s="1"/>
  <c r="C23" i="69"/>
  <c r="J68" i="39"/>
  <c r="I70" i="39"/>
  <c r="C50" i="34"/>
  <c r="B2" i="34" s="1"/>
  <c r="C49" i="34"/>
  <c r="I53" i="33"/>
  <c r="J53" i="33" s="1"/>
  <c r="I52" i="33"/>
  <c r="J52" i="33" s="1"/>
  <c r="R49" i="33"/>
  <c r="E48" i="33"/>
  <c r="E53" i="34"/>
  <c r="F53" i="34" s="1"/>
  <c r="E54" i="34"/>
  <c r="F54" i="34" s="1"/>
  <c r="U7" i="33"/>
  <c r="AB7" i="33"/>
  <c r="T48" i="33" s="1"/>
  <c r="G48" i="33" s="1"/>
  <c r="J65" i="40"/>
  <c r="K63" i="40"/>
  <c r="E2" i="76"/>
  <c r="B2" i="76"/>
  <c r="B3" i="43"/>
  <c r="J16" i="67"/>
  <c r="J25" i="67" s="1"/>
  <c r="C40" i="67"/>
  <c r="Q69" i="67"/>
  <c r="Q68" i="67" s="1"/>
  <c r="C58" i="67"/>
  <c r="C67" i="67" s="1"/>
  <c r="C68" i="67" s="1"/>
  <c r="C80" i="67"/>
  <c r="C79" i="67" s="1"/>
  <c r="L51" i="67"/>
  <c r="C14" i="15"/>
  <c r="C14" i="79"/>
  <c r="C18" i="79" l="1"/>
  <c r="C15" i="79"/>
  <c r="C18" i="15"/>
  <c r="C15" i="15"/>
  <c r="AC11" i="39"/>
  <c r="W11" i="39"/>
  <c r="AB11" i="39"/>
  <c r="U11" i="39"/>
  <c r="S11" i="39"/>
  <c r="AA11" i="39"/>
  <c r="B3" i="34"/>
  <c r="C39" i="11"/>
  <c r="C43" i="11" s="1"/>
  <c r="C41" i="11" s="1"/>
  <c r="T16" i="1"/>
  <c r="I27" i="6"/>
  <c r="S19" i="6"/>
  <c r="S27" i="6" s="1"/>
  <c r="H19" i="6"/>
  <c r="C20" i="69"/>
  <c r="C39" i="68"/>
  <c r="C43" i="68" s="1"/>
  <c r="C42" i="68"/>
  <c r="C24" i="68"/>
  <c r="C27" i="12"/>
  <c r="C25" i="12" s="1"/>
  <c r="C32" i="12" s="1"/>
  <c r="B2" i="12" s="1"/>
  <c r="B3" i="12" s="1"/>
  <c r="C39" i="69"/>
  <c r="C42" i="69"/>
  <c r="K68" i="39"/>
  <c r="J70" i="39"/>
  <c r="C49" i="33"/>
  <c r="B2" i="33" s="1"/>
  <c r="B3" i="33" s="1"/>
  <c r="C48" i="33"/>
  <c r="G52" i="33"/>
  <c r="H52" i="33" s="1"/>
  <c r="G53" i="33"/>
  <c r="H53" i="33" s="1"/>
  <c r="E53" i="33"/>
  <c r="F53" i="33" s="1"/>
  <c r="E52" i="33"/>
  <c r="F52" i="33" s="1"/>
  <c r="K65" i="40"/>
  <c r="L63" i="40"/>
  <c r="B3" i="76"/>
  <c r="Q67" i="67"/>
  <c r="L57" i="67"/>
  <c r="L60" i="67" s="1"/>
  <c r="C71" i="67"/>
  <c r="C45" i="67"/>
  <c r="C46" i="67" s="1"/>
  <c r="Q56" i="67"/>
  <c r="Q47" i="67"/>
  <c r="Q53" i="67" s="1"/>
  <c r="Q65" i="67"/>
  <c r="C43" i="67"/>
  <c r="D2" i="67"/>
  <c r="C83" i="67"/>
  <c r="C82" i="67" s="1"/>
  <c r="C19" i="79" l="1"/>
  <c r="C19" i="15"/>
  <c r="C20" i="15" s="1"/>
  <c r="C26" i="15" s="1"/>
  <c r="C41" i="68"/>
  <c r="C46" i="11"/>
  <c r="C45" i="11" s="1"/>
  <c r="C49" i="11" s="1"/>
  <c r="C51" i="11" s="1"/>
  <c r="C52" i="11" s="1"/>
  <c r="B2" i="11" s="1"/>
  <c r="B3" i="11" s="1"/>
  <c r="H27" i="6"/>
  <c r="R19" i="6"/>
  <c r="C46" i="68"/>
  <c r="C45" i="68" s="1"/>
  <c r="C46" i="69"/>
  <c r="C45" i="69" s="1"/>
  <c r="C43" i="69"/>
  <c r="C41" i="69" s="1"/>
  <c r="C28" i="69"/>
  <c r="C27" i="69" s="1"/>
  <c r="C25" i="69"/>
  <c r="C22" i="69" s="1"/>
  <c r="L68" i="39"/>
  <c r="K70" i="39"/>
  <c r="L65" i="40"/>
  <c r="M63" i="40"/>
  <c r="Q66" i="67"/>
  <c r="Q75" i="67" s="1"/>
  <c r="Q57" i="67"/>
  <c r="Q62" i="67" s="1"/>
  <c r="B2" i="67"/>
  <c r="B3" i="67"/>
  <c r="C20" i="79" l="1"/>
  <c r="C26" i="79" s="1"/>
  <c r="C49" i="68"/>
  <c r="C51" i="68" s="1"/>
  <c r="C23" i="15"/>
  <c r="C29" i="15" s="1"/>
  <c r="C31" i="69"/>
  <c r="C49" i="69"/>
  <c r="C51" i="69" s="1"/>
  <c r="C56" i="11"/>
  <c r="C57" i="11" s="1"/>
  <c r="R6" i="1"/>
  <c r="R27" i="6"/>
  <c r="M65" i="40"/>
  <c r="N63" i="40"/>
  <c r="L70" i="39"/>
  <c r="M68" i="39"/>
  <c r="F35" i="79"/>
  <c r="F35" i="15"/>
  <c r="M21" i="15"/>
  <c r="M21" i="79"/>
  <c r="C23" i="79" l="1"/>
  <c r="C29" i="79" s="1"/>
  <c r="J14" i="15"/>
  <c r="J22" i="15" s="1"/>
  <c r="J59" i="15"/>
  <c r="J60" i="15" s="1"/>
  <c r="Q48" i="15" s="1"/>
  <c r="C34" i="79"/>
  <c r="C31" i="79" s="1"/>
  <c r="F63" i="79"/>
  <c r="C62" i="79" s="1"/>
  <c r="J20" i="79"/>
  <c r="Q49" i="15"/>
  <c r="J19" i="15"/>
  <c r="C36" i="15"/>
  <c r="C13" i="15"/>
  <c r="C75" i="15" s="1"/>
  <c r="C57" i="15"/>
  <c r="C61" i="15" s="1"/>
  <c r="C33" i="15"/>
  <c r="F63" i="15"/>
  <c r="C62" i="15" s="1"/>
  <c r="C34" i="15"/>
  <c r="J20" i="15"/>
  <c r="R16" i="1"/>
  <c r="C52" i="69"/>
  <c r="B2" i="69" s="1"/>
  <c r="B3" i="69" s="1"/>
  <c r="M70" i="39"/>
  <c r="N68" i="39"/>
  <c r="O63" i="40"/>
  <c r="O65" i="40" s="1"/>
  <c r="N65" i="40"/>
  <c r="C57" i="79" l="1"/>
  <c r="C13" i="79"/>
  <c r="Q49" i="79"/>
  <c r="J14" i="79"/>
  <c r="J59" i="79"/>
  <c r="J60" i="79" s="1"/>
  <c r="C36" i="79"/>
  <c r="J19" i="79"/>
  <c r="J17" i="79" s="1"/>
  <c r="J13" i="15"/>
  <c r="J23" i="15" s="1"/>
  <c r="C56" i="15"/>
  <c r="C65" i="15" s="1"/>
  <c r="C37" i="15"/>
  <c r="C64" i="15"/>
  <c r="Q70" i="15"/>
  <c r="J17" i="15"/>
  <c r="C31" i="15"/>
  <c r="C59" i="15"/>
  <c r="L57" i="15"/>
  <c r="L60" i="15" s="1"/>
  <c r="C57" i="69"/>
  <c r="C56" i="69" s="1"/>
  <c r="J7" i="40"/>
  <c r="H7" i="40"/>
  <c r="F7" i="40"/>
  <c r="O68" i="39"/>
  <c r="O70" i="39" s="1"/>
  <c r="N70" i="39"/>
  <c r="L46" i="79" l="1"/>
  <c r="Q48" i="79"/>
  <c r="C64" i="79"/>
  <c r="C61" i="79"/>
  <c r="C59" i="79" s="1"/>
  <c r="J22" i="79"/>
  <c r="J13" i="79"/>
  <c r="J23" i="79" s="1"/>
  <c r="C37" i="79"/>
  <c r="C30" i="79" s="1"/>
  <c r="C39" i="79" s="1"/>
  <c r="C56" i="79"/>
  <c r="C65" i="79" s="1"/>
  <c r="C75" i="79"/>
  <c r="Q70" i="79"/>
  <c r="J16" i="15"/>
  <c r="J25" i="15" s="1"/>
  <c r="C58" i="15"/>
  <c r="C67" i="15" s="1"/>
  <c r="C68" i="15" s="1"/>
  <c r="C71" i="15" s="1"/>
  <c r="C30" i="15"/>
  <c r="C39" i="15" s="1"/>
  <c r="C80" i="15" s="1"/>
  <c r="C79" i="15" s="1"/>
  <c r="L46" i="15"/>
  <c r="Q57" i="15"/>
  <c r="Q66" i="15"/>
  <c r="S7" i="40"/>
  <c r="AA7" i="40"/>
  <c r="R42" i="40" s="1"/>
  <c r="U7" i="40"/>
  <c r="AB7" i="40"/>
  <c r="T42" i="40" s="1"/>
  <c r="G42" i="40" s="1"/>
  <c r="J7" i="39"/>
  <c r="H7" i="39"/>
  <c r="F7" i="39"/>
  <c r="W7" i="40"/>
  <c r="AC7" i="40"/>
  <c r="V42" i="40" s="1"/>
  <c r="I42" i="40" s="1"/>
  <c r="L51" i="79"/>
  <c r="J16" i="79" l="1"/>
  <c r="J25" i="79" s="1"/>
  <c r="Q67" i="79"/>
  <c r="Q69" i="79"/>
  <c r="Q68" i="79" s="1"/>
  <c r="C40" i="79"/>
  <c r="C80" i="79"/>
  <c r="C79" i="79" s="1"/>
  <c r="C58" i="79"/>
  <c r="C67" i="79" s="1"/>
  <c r="C68" i="79" s="1"/>
  <c r="C71" i="79" s="1"/>
  <c r="Q69" i="15"/>
  <c r="Q68" i="15" s="1"/>
  <c r="C40" i="15"/>
  <c r="C83" i="15" s="1"/>
  <c r="C82" i="15" s="1"/>
  <c r="S7" i="39"/>
  <c r="AA7" i="39"/>
  <c r="R47" i="39" s="1"/>
  <c r="AB7" i="39"/>
  <c r="T47" i="39" s="1"/>
  <c r="G47" i="39" s="1"/>
  <c r="U7" i="39"/>
  <c r="E42" i="40"/>
  <c r="I47" i="40" s="1"/>
  <c r="J47" i="40" s="1"/>
  <c r="R43" i="40"/>
  <c r="G46" i="40"/>
  <c r="H46" i="40" s="1"/>
  <c r="G47" i="40"/>
  <c r="H47" i="40" s="1"/>
  <c r="I46" i="40"/>
  <c r="J46" i="40" s="1"/>
  <c r="AC7" i="39"/>
  <c r="V47" i="39" s="1"/>
  <c r="I47" i="39" s="1"/>
  <c r="W7" i="39"/>
  <c r="L51" i="15"/>
  <c r="C46" i="79" l="1"/>
  <c r="Q56" i="79"/>
  <c r="Q62" i="79" s="1"/>
  <c r="Q47" i="79"/>
  <c r="Q53" i="79" s="1"/>
  <c r="C43" i="79"/>
  <c r="B2" i="79"/>
  <c r="C83" i="79"/>
  <c r="C82" i="79" s="1"/>
  <c r="Q65" i="79"/>
  <c r="Q75" i="79" s="1"/>
  <c r="Q67" i="15"/>
  <c r="Q56" i="15"/>
  <c r="Q62" i="15" s="1"/>
  <c r="C46" i="15"/>
  <c r="Q47" i="15"/>
  <c r="Q53" i="15" s="1"/>
  <c r="C43" i="15"/>
  <c r="B2" i="15"/>
  <c r="Q65" i="15"/>
  <c r="Q75" i="15" s="1"/>
  <c r="G51" i="39"/>
  <c r="H51" i="39" s="1"/>
  <c r="G52" i="39"/>
  <c r="H52" i="39" s="1"/>
  <c r="C42" i="40"/>
  <c r="C43" i="40"/>
  <c r="E47" i="39"/>
  <c r="R48" i="39"/>
  <c r="I51" i="39"/>
  <c r="J51" i="39" s="1"/>
  <c r="E46" i="40"/>
  <c r="F46" i="40" s="1"/>
  <c r="E47" i="40"/>
  <c r="F47" i="40" s="1"/>
  <c r="AO6" i="1"/>
  <c r="AO7" i="1"/>
  <c r="B7" i="70" l="1"/>
  <c r="B3" i="79"/>
  <c r="B6" i="70"/>
  <c r="B3" i="15"/>
  <c r="E51" i="39"/>
  <c r="F51" i="39" s="1"/>
  <c r="E52" i="39"/>
  <c r="F52" i="39" s="1"/>
  <c r="I52" i="39"/>
  <c r="J52" i="3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B2" i="70" l="1"/>
  <c r="B56" i="39"/>
  <c r="F56" i="39" s="1"/>
  <c r="B65" i="39"/>
  <c r="F65" i="39" s="1"/>
  <c r="B58" i="39"/>
  <c r="F58" i="39" s="1"/>
  <c r="B57" i="39"/>
  <c r="F57" i="39" s="1"/>
  <c r="B61" i="39"/>
  <c r="F61" i="39" s="1"/>
  <c r="B59" i="39"/>
  <c r="F59" i="39" s="1"/>
  <c r="B63" i="39"/>
  <c r="F63" i="39" s="1"/>
  <c r="B60" i="39"/>
  <c r="F60" i="39" s="1"/>
  <c r="B64" i="39"/>
  <c r="F64" i="39" s="1"/>
  <c r="B62" i="39"/>
  <c r="F62" i="39" s="1"/>
  <c r="D19" i="9"/>
  <c r="D21" i="9" l="1"/>
  <c r="D102" i="9"/>
  <c r="B3" i="70"/>
  <c r="F66" i="39"/>
  <c r="B2" i="39" s="1"/>
  <c r="D20" i="9"/>
  <c r="D103" i="9" l="1"/>
  <c r="B3" i="39"/>
  <c r="C6" i="68"/>
  <c r="C7" i="68" l="1"/>
  <c r="C5" i="68" s="1"/>
  <c r="C23" i="68" l="1"/>
  <c r="C20" i="68"/>
  <c r="C25" i="68" s="1"/>
  <c r="C28" i="68" l="1"/>
  <c r="C27" i="68" s="1"/>
  <c r="C22" i="68"/>
  <c r="C31" i="68" l="1"/>
  <c r="C52" i="68" s="1"/>
  <c r="C57" i="68" s="1"/>
  <c r="C56" i="68" s="1"/>
  <c r="B2" i="68" l="1"/>
  <c r="C19" i="9"/>
  <c r="B3" i="68" l="1"/>
  <c r="D22" i="9"/>
  <c r="C102" i="9"/>
  <c r="C21" i="9"/>
  <c r="G19" i="9"/>
  <c r="C32" i="9" s="1"/>
  <c r="C20" i="9"/>
  <c r="D35" i="9"/>
  <c r="D34" i="9"/>
  <c r="C103" i="9" l="1"/>
  <c r="G20" i="9"/>
  <c r="C35" i="9"/>
  <c r="F118" i="9" s="1"/>
  <c r="F119" i="9" s="1"/>
  <c r="F5" i="52" s="1"/>
  <c r="B53" i="72" s="1"/>
  <c r="H118" i="9"/>
  <c r="H119" i="9" s="1"/>
  <c r="H5" i="52" s="1"/>
  <c r="G21" i="9"/>
  <c r="G118" i="9" l="1"/>
  <c r="G4" i="52" s="1"/>
  <c r="B52" i="72" s="1"/>
  <c r="F4" i="52"/>
  <c r="B51" i="72" s="1"/>
  <c r="C34" i="9"/>
  <c r="D118" i="9" s="1"/>
  <c r="D119" i="9" s="1"/>
  <c r="D5" i="52" s="1"/>
  <c r="B49" i="72" s="1"/>
  <c r="H101" i="9"/>
  <c r="H107" i="9" s="1"/>
  <c r="D14" i="74"/>
  <c r="B5" i="74" s="1"/>
  <c r="C104" i="9"/>
  <c r="H4" i="52"/>
  <c r="I118" i="9"/>
  <c r="H102" i="9" s="1"/>
  <c r="D7" i="53" s="1"/>
  <c r="B21" i="72" s="1"/>
  <c r="F14" i="74" l="1"/>
  <c r="D5" i="53"/>
  <c r="D6" i="53" s="1"/>
  <c r="B22" i="72" s="1"/>
  <c r="D4" i="52"/>
  <c r="B47" i="72" s="1"/>
  <c r="D45" i="9"/>
  <c r="C85" i="9" s="1"/>
  <c r="M48" i="9"/>
  <c r="I4" i="52"/>
  <c r="E118" i="9"/>
  <c r="E4" i="52" s="1"/>
  <c r="B48" i="72" s="1"/>
  <c r="E14" i="74"/>
  <c r="C105" i="9"/>
  <c r="D122" i="9"/>
  <c r="H108" i="9"/>
  <c r="D15" i="53" s="1"/>
  <c r="B31" i="72" s="1"/>
  <c r="D13" i="53"/>
  <c r="D5" i="74"/>
  <c r="C5" i="74"/>
  <c r="B20" i="72" l="1"/>
  <c r="D52" i="9"/>
  <c r="C72" i="9"/>
  <c r="C93" i="9"/>
  <c r="C86" i="9" s="1"/>
  <c r="C95" i="9" s="1"/>
  <c r="C96" i="9" s="1"/>
  <c r="E96" i="9" s="1"/>
  <c r="E97" i="9" s="1"/>
  <c r="C64" i="9"/>
  <c r="C63" i="9" s="1"/>
  <c r="C67" i="9" s="1"/>
  <c r="C68" i="9" s="1"/>
  <c r="D54" i="9" s="1"/>
  <c r="D48" i="9" s="1"/>
  <c r="M52" i="9" s="1"/>
  <c r="C78" i="9"/>
  <c r="C73" i="9" s="1"/>
  <c r="D53" i="9"/>
  <c r="D55" i="9"/>
  <c r="M53" i="9" s="1"/>
  <c r="D14" i="53"/>
  <c r="B32" i="72" s="1"/>
  <c r="B30" i="72"/>
  <c r="D8" i="52"/>
  <c r="D123" i="9"/>
  <c r="D9" i="52" s="1"/>
  <c r="G14" i="74"/>
  <c r="B6" i="74" s="1"/>
  <c r="C79" i="9" l="1"/>
  <c r="C80" i="9" s="1"/>
  <c r="E80" i="9" s="1"/>
  <c r="E81" i="9" s="1"/>
  <c r="C6" i="74"/>
  <c r="D6" i="74"/>
  <c r="C97" i="9"/>
  <c r="D58" i="9" s="1"/>
  <c r="D56" i="9" s="1"/>
  <c r="M54" i="9" s="1"/>
  <c r="N57" i="9" s="1"/>
  <c r="N59" i="9" l="1"/>
  <c r="N58" i="9"/>
  <c r="P57"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<sst xmlns="http://schemas.openxmlformats.org/spreadsheetml/2006/main" count="9579" uniqueCount="3425">
  <si>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</si>
  <si>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</si>
  <si>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</si>
  <si>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</si>
  <si>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</si>
  <si>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</si>
  <si>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</si>
  <si>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</si>
  <si>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</si>
  <si>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</si>
  <si>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</si>
  <si>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</si>
  <si>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</si>
  <si>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</si>
  <si>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</si>
  <si>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</si>
  <si>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</si>
  <si>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</si>
  <si>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</si>
  <si>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</si>
  <si>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</si>
  <si>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</si>
  <si>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</si>
  <si>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</si>
  <si>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</si>
  <si>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</si>
  <si>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</si>
  <si>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</si>
  <si>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</si>
  <si>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</si>
  <si>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</si>
  <si>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</si>
  <si>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</si>
  <si>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</si>
  <si>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</si>
  <si>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</si>
  <si>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</si>
  <si>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</si>
  <si>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</si>
  <si>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</si>
  <si>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</si>
  <si>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</si>
  <si>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</si>
  <si>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</si>
  <si>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</si>
  <si>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</si>
  <si>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</si>
  <si>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</si>
  <si>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</si>
  <si>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</si>
  <si>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</si>
  <si>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</si>
  <si>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</si>
  <si>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</si>
  <si>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</si>
  <si>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</si>
  <si>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</si>
  <si>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</si>
  <si>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</si>
  <si>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</si>
  <si>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</si>
  <si>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</si>
  <si>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</si>
  <si>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</si>
  <si>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</si>
  <si>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</si>
  <si>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</si>
  <si>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</si>
  <si>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</si>
  <si>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</si>
  <si>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</si>
  <si>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</si>
  <si>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</si>
  <si>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</si>
  <si>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</si>
  <si>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</si>
  <si>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</si>
  <si>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</si>
  <si>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</si>
  <si>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</si>
  <si>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</si>
  <si>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</si>
  <si>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</si>
  <si>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</si>
  <si>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</si>
  <si>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</si>
  <si>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</si>
  <si>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</si>
  <si>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</si>
  <si>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</si>
  <si>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</si>
  <si>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</si>
  <si>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</si>
  <si>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</si>
  <si>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</si>
  <si>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</si>
  <si>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</si>
  <si>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</si>
  <si>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</si>
  <si>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</si>
  <si>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</si>
  <si>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</si>
  <si>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</si>
  <si>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</si>
  <si>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</si>
  <si>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</si>
  <si>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</si>
  <si>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</si>
  <si>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</si>
  <si>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</si>
  <si>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</si>
  <si>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</si>
  <si>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</si>
  <si>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</si>
  <si>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</si>
  <si>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</si>
  <si>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</si>
  <si>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</si>
  <si>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</si>
  <si>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</si>
  <si>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</si>
  <si>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</si>
  <si>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</si>
  <si>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</si>
  <si>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</si>
  <si>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</si>
  <si>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</si>
  <si>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</si>
  <si>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</si>
  <si>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</si>
  <si>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</si>
  <si>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</si>
  <si>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</si>
  <si>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</si>
  <si>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</si>
  <si>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</si>
  <si>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</si>
  <si>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</si>
  <si>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</si>
  <si>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</si>
  <si>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</si>
  <si>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</si>
  <si>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</si>
  <si>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</si>
  <si>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</si>
  <si>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</si>
  <si>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</si>
  <si>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</si>
  <si>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</si>
  <si>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</si>
  <si>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</si>
  <si>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</si>
  <si>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</si>
  <si>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</si>
  <si>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</si>
  <si>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</si>
  <si>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</si>
  <si>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</si>
  <si>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</si>
  <si>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</si>
  <si>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</si>
  <si>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</si>
  <si>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</si>
  <si>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</si>
  <si>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</si>
  <si>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</si>
  <si>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</si>
  <si>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</si>
  <si>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</si>
  <si>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</si>
  <si>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</si>
  <si>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</si>
  <si>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</si>
  <si>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</si>
  <si>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</si>
  <si>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</si>
  <si>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</si>
  <si>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</si>
  <si>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</si>
  <si>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</si>
  <si>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</si>
  <si>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</si>
  <si>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</si>
  <si>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</si>
  <si>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</si>
  <si>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</si>
  <si>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</si>
  <si>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</si>
  <si>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</si>
  <si>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</si>
  <si>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</si>
  <si>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</si>
  <si>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</si>
  <si>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</si>
  <si>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</si>
  <si>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</si>
  <si>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</si>
  <si>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</si>
  <si>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</si>
  <si>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</si>
  <si>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</si>
  <si>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</si>
  <si>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</si>
  <si>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</si>
  <si>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</si>
  <si>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</si>
  <si>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</si>
  <si>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</si>
  <si>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</si>
  <si>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</si>
  <si>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</si>
  <si>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</si>
  <si>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</si>
  <si>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</si>
  <si>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</si>
  <si>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</si>
  <si>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</si>
  <si>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</si>
  <si>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</si>
  <si>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</si>
  <si>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</si>
  <si>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</si>
  <si>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</si>
  <si>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</si>
  <si>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</si>
  <si>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</si>
  <si>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</si>
  <si>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</si>
  <si>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</si>
  <si>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</si>
  <si>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</si>
  <si>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</si>
  <si>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</si>
  <si>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</si>
  <si>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</si>
  <si>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</si>
  <si>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</si>
  <si>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</si>
  <si>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</si>
  <si>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</si>
  <si>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</si>
  <si>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</si>
  <si>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</si>
  <si>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</si>
  <si>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</si>
  <si>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</si>
  <si>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</si>
  <si>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</si>
  <si>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</si>
  <si>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</si>
  <si>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</si>
  <si>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</si>
  <si>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</si>
  <si>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</si>
  <si>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</si>
  <si>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</si>
  <si>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</si>
  <si>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</si>
  <si>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</si>
  <si>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</si>
  <si>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</si>
  <si>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</si>
  <si>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</si>
  <si>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</si>
  <si>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</si>
  <si>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</si>
  <si>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</si>
  <si>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</si>
  <si>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</si>
  <si>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</si>
  <si>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</si>
  <si>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</si>
  <si>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</si>
  <si>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</si>
  <si>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</si>
  <si>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</si>
  <si>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</si>
  <si>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</si>
  <si>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</si>
  <si>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</si>
  <si>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</si>
  <si>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</si>
  <si>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</si>
  <si>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</si>
  <si>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</si>
  <si>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</si>
  <si>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</si>
  <si>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</si>
  <si>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</si>
  <si>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</si>
  <si>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</si>
  <si>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</si>
  <si>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</si>
  <si>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</si>
  <si>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</si>
  <si>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</si>
  <si>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</si>
  <si>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</si>
  <si>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</si>
  <si>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</si>
  <si>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</si>
  <si>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</si>
  <si>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</si>
  <si>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</si>
  <si>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</si>
  <si>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</si>
  <si>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</si>
  <si>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</si>
  <si>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</si>
  <si>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</si>
  <si>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</si>
  <si>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</si>
  <si>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</si>
  <si>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</si>
  <si>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</si>
  <si>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</si>
  <si>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</si>
  <si>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</si>
  <si>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</si>
  <si>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</si>
  <si>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</si>
  <si>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</si>
  <si>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</si>
  <si>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</si>
  <si>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</si>
  <si>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</si>
  <si>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</si>
  <si>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</si>
  <si>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</si>
  <si>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</si>
  <si>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</si>
  <si>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</si>
  <si>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</si>
  <si>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</si>
  <si>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</si>
  <si>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</si>
  <si>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</si>
  <si>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</si>
  <si>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</si>
  <si>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</si>
  <si>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</si>
  <si>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</si>
  <si>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</si>
  <si>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</si>
  <si>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</si>
  <si>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</si>
  <si>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</si>
  <si>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</si>
  <si>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</si>
  <si>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</si>
  <si>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</si>
  <si>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</si>
  <si>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</si>
  <si>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</si>
  <si>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</si>
  <si>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</si>
  <si>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</si>
  <si>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</si>
  <si>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</si>
  <si>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</si>
  <si>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</si>
  <si>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</si>
  <si>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</si>
  <si>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</si>
  <si>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</si>
  <si>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</si>
  <si>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</si>
  <si>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</si>
  <si>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</si>
  <si>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</si>
  <si>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</si>
  <si>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</si>
  <si>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</si>
  <si>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</si>
  <si>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</si>
  <si>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</si>
  <si>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</si>
  <si>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</si>
  <si>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</si>
  <si>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</si>
  <si>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</si>
  <si>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</si>
  <si>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</si>
  <si>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</si>
  <si>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</si>
  <si>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</si>
  <si>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</si>
  <si>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</si>
  <si>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</si>
  <si>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</si>
  <si>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</si>
  <si>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</si>
  <si>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</si>
  <si>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</si>
  <si>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</si>
  <si>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</si>
  <si>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</si>
  <si>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</si>
  <si>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</si>
  <si>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</si>
  <si>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</si>
  <si>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</si>
  <si>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</si>
  <si>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</si>
  <si>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</si>
  <si>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</si>
  <si>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</si>
  <si>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</si>
  <si>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</si>
  <si>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</si>
  <si>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</si>
  <si>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</si>
  <si>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</si>
  <si>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</si>
  <si>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</si>
  <si>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</si>
  <si>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</si>
  <si>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</si>
  <si>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</si>
  <si>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</si>
  <si>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</si>
  <si>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</si>
  <si>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</si>
  <si>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</si>
  <si>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</si>
  <si>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</si>
  <si>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</si>
  <si>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</si>
  <si>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</si>
  <si>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</si>
  <si>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</si>
  <si>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</si>
  <si>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</si>
  <si>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</si>
  <si>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</si>
  <si>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</si>
  <si>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</si>
  <si>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</si>
  <si>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</si>
  <si>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</si>
  <si>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</si>
  <si>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</si>
  <si>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</si>
  <si>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</si>
  <si>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</si>
  <si>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</si>
  <si>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</si>
  <si>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</si>
  <si>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</si>
  <si>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</si>
  <si>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</si>
  <si>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</si>
  <si>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</si>
  <si>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</si>
  <si>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</si>
  <si>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</si>
  <si>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</si>
  <si>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</si>
  <si>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</si>
  <si>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</si>
  <si>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</si>
  <si>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</si>
  <si>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</si>
  <si>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</si>
  <si>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</si>
  <si>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</si>
  <si>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</si>
  <si>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</si>
  <si>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</si>
  <si>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</si>
  <si>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</si>
  <si>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</si>
  <si>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</si>
  <si>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</si>
  <si>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</si>
  <si>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</si>
  <si>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</si>
  <si>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</si>
  <si>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</si>
  <si>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</si>
  <si>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</si>
  <si>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</si>
  <si>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</si>
  <si>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</si>
  <si>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</si>
  <si>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</si>
  <si>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</si>
  <si>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</si>
  <si>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</si>
  <si>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</si>
  <si>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</si>
  <si>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</si>
  <si>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</si>
  <si>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</si>
  <si>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</si>
  <si>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</si>
  <si>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</si>
  <si>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</si>
  <si>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</si>
  <si>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</si>
  <si>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</si>
  <si>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</si>
  <si>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</si>
  <si>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</si>
  <si>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</si>
  <si>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</si>
  <si>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</si>
  <si>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</si>
  <si>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</si>
  <si>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</si>
  <si>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</si>
  <si>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</si>
  <si>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</si>
  <si>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</si>
  <si>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</si>
  <si>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</si>
  <si>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</si>
  <si>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</si>
  <si>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</si>
  <si>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</si>
  <si>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</si>
  <si>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</si>
  <si>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</si>
  <si>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</si>
  <si>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</si>
  <si>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</si>
  <si>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</si>
  <si>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</si>
  <si>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</si>
  <si>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</si>
  <si>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</si>
  <si>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</si>
  <si>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</si>
  <si>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</si>
  <si>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</si>
  <si>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</si>
  <si>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</si>
  <si>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</si>
  <si>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</si>
  <si>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</si>
  <si>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</si>
  <si>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</si>
  <si>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</si>
  <si>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</si>
  <si>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</si>
  <si>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</si>
  <si>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</si>
  <si>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</si>
  <si>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</si>
  <si>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</si>
  <si>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</si>
  <si>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</si>
  <si>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</si>
  <si>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</si>
  <si>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</si>
  <si>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</si>
  <si>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</si>
  <si>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</si>
  <si>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</si>
  <si>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</si>
  <si>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</si>
  <si>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</si>
  <si>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</si>
  <si>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</si>
  <si>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</si>
  <si>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</si>
  <si>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</si>
  <si>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</si>
  <si>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</si>
  <si>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</si>
  <si>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</si>
  <si>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</si>
  <si>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</si>
  <si>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</si>
  <si>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</si>
  <si>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</si>
  <si>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</si>
  <si>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</si>
  <si>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</si>
  <si>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</si>
  <si>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</si>
  <si>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</si>
  <si>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</si>
  <si>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</si>
  <si>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</si>
  <si>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</si>
  <si>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</si>
  <si>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</si>
  <si>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</si>
  <si>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</si>
  <si>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</si>
  <si>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</si>
  <si>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</si>
  <si>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</si>
  <si>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</si>
  <si>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</si>
  <si>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</si>
  <si>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</si>
  <si>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</si>
  <si>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</si>
  <si>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</si>
  <si>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</si>
  <si>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</si>
  <si>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</si>
  <si>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</si>
  <si>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</si>
  <si>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</si>
  <si>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</si>
  <si>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</si>
  <si>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</si>
  <si>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</si>
  <si>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</si>
  <si>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</si>
  <si>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</si>
  <si>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</si>
  <si>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</si>
  <si>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</si>
  <si>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</si>
  <si>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</si>
  <si>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</si>
  <si>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</si>
  <si>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</si>
  <si>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</si>
  <si>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</si>
  <si>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</si>
  <si>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</si>
  <si>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</si>
  <si>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</si>
  <si>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</si>
  <si>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</si>
  <si>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</si>
  <si>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</si>
  <si>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</si>
  <si>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</si>
  <si>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</si>
  <si>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</si>
  <si>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</si>
  <si>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</si>
  <si>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</si>
  <si>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</si>
  <si>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</si>
  <si>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</si>
  <si>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</si>
  <si>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</si>
  <si>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</si>
  <si>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</si>
  <si>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</si>
  <si>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</si>
  <si>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</si>
  <si>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</si>
  <si>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</si>
  <si>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</si>
  <si>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</si>
  <si>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</si>
  <si>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</si>
  <si>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</si>
  <si>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</si>
  <si>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</si>
  <si>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</si>
  <si>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</si>
  <si>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</si>
  <si>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</si>
  <si>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</si>
  <si>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</si>
  <si>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</si>
  <si>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</si>
  <si>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</si>
  <si>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</si>
  <si>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</si>
  <si>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</si>
  <si>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</si>
  <si>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</si>
  <si>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</si>
  <si>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</si>
  <si>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</si>
  <si>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</si>
  <si>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</si>
  <si>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</si>
  <si>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</si>
  <si>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</si>
  <si>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</si>
  <si>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</si>
  <si>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</si>
  <si>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</si>
  <si>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</si>
  <si>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</si>
  <si>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</si>
  <si>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</si>
  <si>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</si>
  <si>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</si>
  <si>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</si>
  <si>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</si>
  <si>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</si>
  <si>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</si>
  <si>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</si>
  <si>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</si>
  <si>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</si>
  <si>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</si>
  <si>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</si>
  <si>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</si>
  <si>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</si>
  <si>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</si>
  <si>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</si>
  <si>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</si>
  <si>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</si>
  <si>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</si>
  <si>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</si>
  <si>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</si>
  <si>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</si>
  <si>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</si>
  <si>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</si>
  <si>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</si>
  <si>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</si>
  <si>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</si>
  <si>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</si>
  <si>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</si>
  <si>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</si>
  <si>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</si>
  <si>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</si>
  <si>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</si>
  <si>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</si>
  <si>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</si>
  <si>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</si>
  <si>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</si>
  <si>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</si>
  <si>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</si>
  <si>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</si>
  <si>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</si>
  <si>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</si>
  <si>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</si>
  <si>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</si>
  <si>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</si>
  <si>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</si>
  <si>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</si>
  <si>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</si>
  <si>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</si>
  <si>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</si>
  <si>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</si>
  <si>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</si>
  <si>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</si>
  <si>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</si>
  <si>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</si>
  <si>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</si>
  <si>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</si>
  <si>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</si>
  <si>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</si>
  <si>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</si>
  <si>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</si>
  <si>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</si>
  <si>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</si>
  <si>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</si>
  <si>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</si>
  <si>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</si>
  <si>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</si>
  <si>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</si>
  <si>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</si>
  <si>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</si>
  <si>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</si>
  <si>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</si>
  <si>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</si>
  <si>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</si>
  <si>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</si>
  <si>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</si>
  <si>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</si>
  <si>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</si>
  <si>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</si>
  <si>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</si>
  <si>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</si>
  <si>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</si>
  <si>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</si>
  <si>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</si>
  <si>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</si>
  <si>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</si>
  <si>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</si>
  <si>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</si>
  <si>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</si>
  <si>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</si>
  <si>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</si>
  <si>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</si>
  <si>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</si>
  <si>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</si>
  <si>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</si>
  <si>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</si>
  <si>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</si>
  <si>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</si>
  <si>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</si>
  <si>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</si>
  <si>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</si>
  <si>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</si>
  <si>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</si>
  <si>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</si>
  <si>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</si>
  <si>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</si>
  <si>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</si>
  <si>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</si>
  <si>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</si>
  <si>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</si>
  <si>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</si>
  <si>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</si>
  <si>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</si>
  <si>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</si>
  <si>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</si>
  <si>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</si>
  <si>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</si>
  <si>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</si>
  <si>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</si>
  <si>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</si>
  <si>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</si>
  <si>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</si>
  <si>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</si>
  <si>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</si>
  <si>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</si>
  <si>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</si>
  <si>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</si>
  <si>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</si>
  <si>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</si>
  <si>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</si>
  <si>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</si>
  <si>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</si>
  <si>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</si>
  <si>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</si>
  <si>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</si>
  <si>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</si>
  <si>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</si>
  <si>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</si>
  <si>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</si>
  <si>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</si>
  <si>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</si>
  <si>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</si>
  <si>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</si>
  <si>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</si>
  <si>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</si>
  <si>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</si>
  <si>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</si>
  <si>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</si>
  <si>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</si>
  <si>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</si>
  <si>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</si>
  <si>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</si>
  <si>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</si>
  <si>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</si>
  <si>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</si>
  <si>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</si>
  <si>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</si>
  <si>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</si>
  <si>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</si>
  <si>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</si>
  <si>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</si>
  <si>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</si>
  <si>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</si>
  <si>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</si>
  <si>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</si>
  <si>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</si>
  <si>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</si>
  <si>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</si>
  <si>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</si>
  <si>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</si>
  <si>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</si>
  <si>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</si>
  <si>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</si>
  <si>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</si>
  <si>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</si>
  <si>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</si>
  <si>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</si>
  <si>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</si>
  <si>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</si>
  <si>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</si>
  <si>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</si>
  <si>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</si>
  <si>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</si>
  <si>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</si>
  <si>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</si>
  <si>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</si>
  <si>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</si>
  <si>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</si>
  <si>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</si>
  <si>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</si>
  <si>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</si>
  <si>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</si>
  <si>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</si>
  <si>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</si>
  <si>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</si>
  <si>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</si>
  <si>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</si>
  <si>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</si>
  <si>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</si>
  <si>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</si>
  <si>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</si>
  <si>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</si>
  <si>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</si>
  <si>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</si>
  <si>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</si>
  <si>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</si>
  <si>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</si>
  <si>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</si>
  <si>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</si>
  <si>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</si>
  <si>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</si>
  <si>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</si>
  <si>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</si>
  <si>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</si>
  <si>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</si>
  <si>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</si>
  <si>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</si>
  <si>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</si>
  <si>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</si>
  <si>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</si>
  <si>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</si>
  <si>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</si>
  <si>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</si>
  <si>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</si>
  <si>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</si>
  <si>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</si>
  <si>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</si>
  <si>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</si>
  <si>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</si>
  <si>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</si>
  <si>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</si>
  <si>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</si>
  <si>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</si>
  <si>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</si>
  <si>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</si>
  <si>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</si>
  <si>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</si>
  <si>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</si>
  <si>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</si>
  <si>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</si>
  <si>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</si>
  <si>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</si>
  <si>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</si>
  <si>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</si>
  <si>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</si>
  <si>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</si>
  <si>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</si>
  <si>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</si>
  <si>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</si>
  <si>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</si>
  <si>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</si>
  <si>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</si>
  <si>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</si>
  <si>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</si>
  <si>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</si>
  <si>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</si>
  <si>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</si>
  <si>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</si>
  <si>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</si>
  <si>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</si>
  <si>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</si>
  <si>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</si>
  <si>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</si>
  <si>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</si>
  <si>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</si>
  <si>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</si>
  <si>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</si>
  <si>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</si>
  <si>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</si>
  <si>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</si>
  <si>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</si>
  <si>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</si>
  <si>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</si>
  <si>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</si>
  <si>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</si>
  <si>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</si>
  <si>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</si>
  <si>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</si>
  <si>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</si>
  <si>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</si>
  <si>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</si>
  <si>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</si>
  <si>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</si>
  <si>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</si>
  <si>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</si>
  <si>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</si>
  <si>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</si>
  <si>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</si>
  <si>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</si>
  <si>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</si>
  <si>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</si>
  <si>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</si>
  <si>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</si>
  <si>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</si>
  <si>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</si>
  <si>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</si>
  <si>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</si>
  <si>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</si>
  <si>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</si>
  <si>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</si>
  <si>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</si>
  <si>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</si>
  <si>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</si>
  <si>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</si>
  <si>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</si>
  <si>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</si>
  <si>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</si>
  <si>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</si>
  <si>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</si>
  <si>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</si>
  <si>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</si>
  <si>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</si>
  <si>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</si>
  <si>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</si>
  <si>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</si>
  <si>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</si>
  <si>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</si>
  <si>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</si>
  <si>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</si>
  <si>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</si>
  <si>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</si>
  <si>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</si>
  <si>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</si>
  <si>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</si>
  <si>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</si>
  <si>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</si>
  <si>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</si>
  <si>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</si>
  <si>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</si>
  <si>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</si>
  <si>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</si>
  <si>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</si>
  <si>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</si>
  <si>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</si>
  <si>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</si>
  <si>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</si>
  <si>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</si>
  <si>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</si>
  <si>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</si>
  <si>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</si>
  <si>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</si>
  <si>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</si>
  <si>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</si>
  <si>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</si>
  <si>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</si>
  <si>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</si>
  <si>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</si>
  <si>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</si>
  <si>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</si>
  <si>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</si>
  <si>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</si>
  <si>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</si>
  <si>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</si>
  <si>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</si>
  <si>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</si>
  <si>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</si>
  <si>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</si>
  <si>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</si>
  <si>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</si>
  <si>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</si>
  <si>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</si>
  <si>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</si>
  <si>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</si>
  <si>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</si>
  <si>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</si>
  <si>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</si>
  <si>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</si>
  <si>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</si>
  <si>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</si>
  <si>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</si>
  <si>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</si>
  <si>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</si>
  <si>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</si>
  <si>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</si>
  <si>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</si>
  <si>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</si>
  <si>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</si>
  <si>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</si>
  <si>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</si>
  <si>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</si>
  <si>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</si>
  <si>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</si>
  <si>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</si>
  <si>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</si>
  <si>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</si>
  <si>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</si>
  <si>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</si>
  <si>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</si>
  <si>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</si>
  <si>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</si>
  <si>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</si>
  <si>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</si>
  <si>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</si>
  <si>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</si>
  <si>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</si>
  <si>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</si>
  <si>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</si>
  <si>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</si>
  <si>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</si>
  <si>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</si>
  <si>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</si>
  <si>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</si>
  <si>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</si>
  <si>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</si>
  <si>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</si>
  <si>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</si>
  <si>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</si>
  <si>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</si>
  <si>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</si>
  <si>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</si>
  <si>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</si>
  <si>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</si>
  <si>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</si>
  <si>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</si>
  <si>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</si>
  <si>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</si>
  <si>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</si>
  <si>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</si>
  <si>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</si>
  <si>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</si>
  <si>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</si>
  <si>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</si>
  <si>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</si>
  <si>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</si>
  <si>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</si>
  <si>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</si>
  <si>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</si>
  <si>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</si>
  <si>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</si>
  <si>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</si>
  <si>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</si>
  <si>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</si>
  <si>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</si>
  <si>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</si>
  <si>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</si>
  <si>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</si>
  <si>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</si>
  <si>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</si>
  <si>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</si>
  <si>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</si>
  <si>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</si>
  <si>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</si>
  <si>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</si>
  <si>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</si>
  <si>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</si>
  <si>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</si>
  <si>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</si>
  <si>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</si>
  <si>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</si>
  <si>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</si>
  <si>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</si>
  <si>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</si>
  <si>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</si>
  <si>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</si>
  <si>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</si>
  <si>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</si>
  <si>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</si>
  <si>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</si>
  <si>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</si>
  <si>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</si>
  <si>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</si>
  <si>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</si>
  <si>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</si>
  <si>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</si>
  <si>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</si>
  <si>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</si>
  <si>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</si>
  <si>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</si>
  <si>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</si>
  <si>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</si>
  <si>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</si>
  <si>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</si>
  <si>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</si>
  <si>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</si>
  <si>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</si>
  <si>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</si>
  <si>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</si>
  <si>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</si>
  <si>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</si>
  <si>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</si>
  <si>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</si>
  <si>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</si>
  <si>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</si>
  <si>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</si>
  <si>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</si>
  <si>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</si>
  <si>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</si>
  <si>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</si>
  <si>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</si>
  <si>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</si>
  <si>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</si>
  <si>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</si>
  <si>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</si>
  <si>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</si>
  <si>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</si>
  <si>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</si>
  <si>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</si>
  <si>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</si>
  <si>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</si>
  <si>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</si>
  <si>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</si>
  <si>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</si>
  <si>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</si>
  <si>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</si>
  <si>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</si>
  <si>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</si>
  <si>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</si>
  <si>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</si>
  <si>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</si>
  <si>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</si>
  <si>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</si>
  <si>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</si>
  <si>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</si>
  <si>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</si>
  <si>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</si>
  <si>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</si>
  <si>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</si>
  <si>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</si>
  <si>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</si>
  <si>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</si>
  <si>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</si>
  <si>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</si>
  <si>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</si>
  <si>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</si>
  <si>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</si>
  <si>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</si>
  <si>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</si>
  <si>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</si>
  <si>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</si>
  <si>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</si>
  <si>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</si>
  <si>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</si>
  <si>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</si>
  <si>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</si>
  <si>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</si>
  <si>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</si>
  <si>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</si>
  <si>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</si>
  <si>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</si>
  <si>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</si>
  <si>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</si>
  <si>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</si>
  <si>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</si>
  <si>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</si>
  <si>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</si>
  <si>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</si>
  <si>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</si>
  <si>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</si>
  <si>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</si>
  <si>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</si>
  <si>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</si>
  <si>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</si>
  <si>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</si>
  <si>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</si>
  <si>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</si>
  <si>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</si>
  <si>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</si>
  <si>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</si>
  <si>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</si>
  <si>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</si>
  <si>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</si>
  <si>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</si>
  <si>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</si>
  <si>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</si>
  <si>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</si>
  <si>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</si>
  <si>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</si>
  <si>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</si>
  <si>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</si>
  <si>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</si>
  <si>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</si>
  <si>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</si>
  <si>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</si>
  <si>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</si>
  <si>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</si>
  <si>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</si>
  <si>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</si>
  <si>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</si>
  <si>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</si>
  <si>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</si>
  <si>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</si>
  <si>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</si>
  <si>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</si>
  <si>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</si>
  <si>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</si>
  <si>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</si>
  <si>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</si>
  <si>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</si>
  <si>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</si>
  <si>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</si>
  <si>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</si>
  <si>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</si>
  <si>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</si>
  <si>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</si>
  <si>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</si>
  <si>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</si>
  <si>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</si>
  <si>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</si>
  <si>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</si>
  <si>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</si>
  <si>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</si>
  <si>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</si>
  <si>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</si>
  <si>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</si>
  <si>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</si>
  <si>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</si>
  <si>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</si>
  <si>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</si>
  <si>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</si>
  <si>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</si>
  <si>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</si>
  <si>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</si>
  <si>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</si>
  <si>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</si>
  <si>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</si>
  <si>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</si>
  <si>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</si>
  <si>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</si>
  <si>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</si>
  <si>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</si>
  <si>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</si>
  <si>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</si>
  <si>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</si>
  <si>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</si>
  <si>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</si>
  <si>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</si>
  <si>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</si>
  <si>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</si>
  <si>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</si>
  <si>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</si>
  <si>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</si>
  <si>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</si>
  <si>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</si>
  <si>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</si>
  <si>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</si>
  <si>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</si>
  <si>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</si>
  <si>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</si>
  <si>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</si>
  <si>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</si>
  <si>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</si>
  <si>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</si>
  <si>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</si>
  <si>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</si>
  <si>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</si>
  <si>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</si>
  <si>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</si>
  <si>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</si>
  <si>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</si>
  <si>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</si>
  <si>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</si>
  <si>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</si>
  <si>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</si>
  <si>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</si>
  <si>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</si>
  <si>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</si>
  <si>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</si>
  <si>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</si>
  <si>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</si>
  <si>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</si>
  <si>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</si>
  <si>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</si>
  <si>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</si>
  <si>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</si>
  <si>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</si>
  <si>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</si>
  <si>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</si>
  <si>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</si>
  <si>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</si>
  <si>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</si>
  <si>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</si>
  <si>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</si>
  <si>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</si>
  <si>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</si>
  <si>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</si>
  <si>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</si>
  <si>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</si>
  <si>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</si>
  <si>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</si>
  <si>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</si>
  <si>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</si>
  <si>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</si>
  <si>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</si>
  <si>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</si>
  <si>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</si>
  <si>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</si>
  <si>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</si>
  <si>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</si>
  <si>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</si>
  <si>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</si>
  <si>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</si>
  <si>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</si>
  <si>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</si>
  <si>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</si>
  <si>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</si>
  <si>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</si>
  <si>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</si>
  <si>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</si>
  <si>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</si>
  <si>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</si>
  <si>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</si>
  <si>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</si>
  <si>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</si>
  <si>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</si>
  <si>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</si>
  <si>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</si>
  <si>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</si>
  <si>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</si>
  <si>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</si>
  <si>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</si>
  <si>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</si>
  <si>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</si>
  <si>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</si>
  <si>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</si>
  <si>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</si>
  <si>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</si>
  <si>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</si>
  <si>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</si>
  <si>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</si>
  <si>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</si>
  <si>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</si>
  <si>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</si>
  <si>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</si>
  <si>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</si>
  <si>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</si>
  <si>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</si>
  <si>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</si>
  <si>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</si>
  <si>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</si>
  <si>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</si>
  <si>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</si>
  <si>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</si>
  <si>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</si>
  <si>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</si>
  <si>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</si>
  <si>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</si>
  <si>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</si>
  <si>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</si>
  <si>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</si>
  <si>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</si>
  <si>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</si>
  <si>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</si>
  <si>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</si>
  <si>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</si>
  <si>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</si>
  <si>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</si>
  <si>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</si>
  <si>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</si>
  <si>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</si>
  <si>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</si>
  <si>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</si>
  <si>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</si>
  <si>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</si>
  <si>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</si>
  <si>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</si>
  <si>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</si>
  <si>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</si>
  <si>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</si>
  <si>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</si>
  <si>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</si>
  <si>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</si>
  <si>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</si>
  <si>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</si>
  <si>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</si>
  <si>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</si>
  <si>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</si>
  <si>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</si>
  <si>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</si>
  <si>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</si>
  <si>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</si>
  <si>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</si>
  <si>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</si>
  <si>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</si>
  <si>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</si>
  <si>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</si>
  <si>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</si>
  <si>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</si>
  <si>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</si>
  <si>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</si>
  <si>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</si>
  <si>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</si>
  <si>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</si>
  <si>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</si>
  <si>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</si>
  <si>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</si>
  <si>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</si>
  <si>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</si>
  <si>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</si>
  <si>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</si>
  <si>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</si>
  <si>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</si>
  <si>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</si>
  <si>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</si>
  <si>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</si>
  <si>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</si>
  <si>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</si>
  <si>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</si>
  <si>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</si>
  <si>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</si>
  <si>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</si>
  <si>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</si>
  <si>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</si>
  <si>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</si>
  <si>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</si>
  <si>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</si>
  <si>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</si>
  <si>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</si>
  <si>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</si>
  <si>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</si>
  <si>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</si>
  <si>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</si>
  <si>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</si>
  <si>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</si>
  <si>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</si>
  <si>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</si>
  <si>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</si>
  <si>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</si>
  <si>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</si>
  <si>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</si>
  <si>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</si>
  <si>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</si>
  <si>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</si>
  <si>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</si>
  <si>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</si>
  <si>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</si>
  <si>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</si>
  <si>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</si>
  <si>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</si>
  <si>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</si>
  <si>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</si>
  <si>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</si>
  <si>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</si>
  <si>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</si>
  <si>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</si>
  <si>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</si>
  <si>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</si>
  <si>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</si>
  <si>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</si>
  <si>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</si>
  <si>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</si>
  <si>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</si>
  <si>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</si>
  <si>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</si>
  <si>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</si>
  <si>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</si>
  <si>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</si>
  <si>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</si>
  <si>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</si>
  <si>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</si>
  <si>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</si>
  <si>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</si>
  <si>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</si>
  <si>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</si>
  <si>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</si>
  <si>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</si>
  <si>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</si>
  <si>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</si>
  <si>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</si>
  <si>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</si>
  <si>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</si>
  <si>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</si>
  <si>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</si>
  <si>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</si>
  <si>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</si>
  <si>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</si>
  <si>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</si>
  <si>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</si>
  <si>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</si>
  <si>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</si>
  <si>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</si>
  <si>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</si>
  <si>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</si>
  <si>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</si>
  <si>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</si>
  <si>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</si>
  <si>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</si>
  <si>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</si>
  <si>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</si>
  <si>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</si>
  <si>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</si>
  <si>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</si>
  <si>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</si>
  <si>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</si>
  <si>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</si>
  <si>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</si>
  <si>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</si>
  <si>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</si>
  <si>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</si>
  <si>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</si>
  <si>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</si>
  <si>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</si>
  <si>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</si>
  <si>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</si>
  <si>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</si>
  <si>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</si>
  <si>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</si>
  <si>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</si>
  <si>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</si>
  <si>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</si>
  <si>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</si>
  <si>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</si>
  <si>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</si>
  <si>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</si>
  <si>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</si>
  <si>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</si>
  <si>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</si>
  <si>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</si>
  <si>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</si>
  <si>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</si>
  <si>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</si>
  <si>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</si>
  <si>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</si>
  <si>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</si>
  <si>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</si>
  <si>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</si>
  <si>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</si>
  <si>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</si>
  <si>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</si>
  <si>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</si>
  <si>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</si>
  <si>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</si>
  <si>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</si>
  <si>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</si>
  <si>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</si>
  <si>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</si>
  <si>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</si>
  <si>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</si>
  <si>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</si>
  <si>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</si>
  <si>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</si>
  <si>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</si>
  <si>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</si>
  <si>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</si>
  <si>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</si>
  <si>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</si>
  <si>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</si>
  <si>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</si>
  <si>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</si>
  <si>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</si>
  <si>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</si>
  <si>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</si>
  <si>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</si>
  <si>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</si>
  <si>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</si>
  <si>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</si>
  <si>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</si>
  <si>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</si>
  <si>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</si>
  <si>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</si>
  <si>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</si>
  <si>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</si>
  <si>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</si>
  <si>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</si>
  <si>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</si>
  <si>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</si>
  <si>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</si>
  <si>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</si>
  <si>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</si>
  <si>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</si>
  <si>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</si>
  <si>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</si>
  <si>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</si>
  <si>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</si>
  <si>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</si>
  <si>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</si>
  <si>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</si>
  <si>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</si>
  <si>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</si>
  <si>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</si>
  <si>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</si>
  <si>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</si>
  <si>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</si>
  <si>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</si>
  <si>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</si>
  <si>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</si>
  <si>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</si>
  <si>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</si>
  <si>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</si>
  <si>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</si>
  <si>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</si>
  <si>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</si>
  <si>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</si>
  <si>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</si>
  <si>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</si>
  <si>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</si>
  <si>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</si>
  <si>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</si>
  <si>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</si>
  <si>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</si>
  <si>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</si>
  <si>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</si>
  <si>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</si>
  <si>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</si>
  <si>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</si>
  <si>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</si>
  <si>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</si>
  <si>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</si>
  <si>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</si>
  <si>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</si>
  <si>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</si>
  <si>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</si>
  <si>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</si>
  <si>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</si>
  <si>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</si>
  <si>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</si>
  <si>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</si>
  <si>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</si>
  <si>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</si>
  <si>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</si>
  <si>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</si>
  <si>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</si>
  <si>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</si>
  <si>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</si>
  <si>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</si>
  <si>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</si>
  <si>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</si>
  <si>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</si>
  <si>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</si>
  <si>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</si>
  <si>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</si>
  <si>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</si>
  <si>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</si>
  <si>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</si>
  <si>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</si>
  <si>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</si>
  <si>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</si>
  <si>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</si>
  <si>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</si>
  <si>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</si>
  <si>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</si>
  <si>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</si>
  <si>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</si>
  <si>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</si>
  <si>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</si>
  <si>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</si>
  <si>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</si>
  <si>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</si>
  <si>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</si>
  <si>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</si>
  <si>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</si>
  <si>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</si>
  <si>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</si>
  <si>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</si>
  <si>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</si>
  <si>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</si>
  <si>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</si>
  <si>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</si>
  <si>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</si>
  <si>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</si>
  <si>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</si>
  <si>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</si>
  <si>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</si>
  <si>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</si>
  <si>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</si>
  <si>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</si>
  <si>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</si>
  <si>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</si>
  <si>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</si>
  <si>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</si>
  <si>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</si>
  <si>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</si>
  <si>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</si>
  <si>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</si>
  <si>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</si>
  <si>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</si>
  <si>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</si>
  <si>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</si>
  <si>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</si>
  <si>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</si>
  <si>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</si>
  <si>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</si>
  <si>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</si>
  <si>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</si>
  <si>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</si>
  <si>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</si>
  <si>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</si>
  <si>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</si>
  <si>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</si>
  <si>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</si>
  <si>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</si>
  <si>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</si>
  <si>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</si>
  <si>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</si>
  <si>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</si>
  <si>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</si>
  <si>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</si>
  <si>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</si>
  <si>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</si>
  <si>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</si>
  <si>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</si>
  <si>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</si>
  <si>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</si>
  <si>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</si>
  <si>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</si>
  <si>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</si>
  <si>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</si>
  <si>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</si>
  <si>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</si>
  <si>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</si>
  <si>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</si>
  <si>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</si>
  <si>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</si>
  <si>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</si>
  <si>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</si>
  <si>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</si>
  <si>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</si>
  <si>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</si>
  <si>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</si>
  <si>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</si>
  <si>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</si>
  <si>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</si>
  <si>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</si>
  <si>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</si>
  <si>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</si>
  <si>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</si>
  <si>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</si>
  <si>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</si>
  <si>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</si>
  <si>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</si>
  <si>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</si>
  <si>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</si>
  <si>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</si>
  <si>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</si>
  <si>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</si>
  <si>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</si>
  <si>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</si>
  <si>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</si>
  <si>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</si>
  <si>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</si>
  <si>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</si>
  <si>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</si>
  <si>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</si>
  <si>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</si>
  <si>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</si>
  <si>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</si>
  <si>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</si>
  <si>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</si>
  <si>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</si>
  <si>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</si>
  <si>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</si>
  <si>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</si>
  <si>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</si>
  <si>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</si>
  <si>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</si>
  <si>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</si>
  <si>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</si>
  <si>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</si>
  <si>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</si>
  <si>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</si>
  <si>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</si>
  <si>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</si>
  <si>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</si>
  <si>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</si>
  <si>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</si>
  <si>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</si>
  <si>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</si>
  <si>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</si>
  <si>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</si>
  <si>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</si>
  <si>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</si>
  <si>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</si>
  <si>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</si>
  <si>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</si>
  <si>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</si>
  <si>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</si>
  <si>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</si>
  <si>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</si>
  <si>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</si>
  <si>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</si>
  <si>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</si>
  <si>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</si>
  <si>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</si>
  <si>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</si>
  <si>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</si>
  <si>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</si>
  <si>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</si>
  <si>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</si>
  <si>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</si>
  <si>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</si>
  <si>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</si>
  <si>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</si>
  <si>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</si>
  <si>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</si>
  <si>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</si>
  <si>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</si>
  <si>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</si>
  <si>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</si>
  <si>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</si>
  <si>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</si>
  <si>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</si>
  <si>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</si>
  <si>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</si>
  <si>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</si>
  <si>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</si>
  <si>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</si>
  <si>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</si>
  <si>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</si>
  <si>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</si>
  <si>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</si>
  <si>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</si>
  <si>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</si>
  <si>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</si>
  <si>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</si>
  <si>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</si>
  <si>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</si>
  <si>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</si>
  <si>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</si>
  <si>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</si>
  <si>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</si>
  <si>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</si>
  <si>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</si>
  <si>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</si>
  <si>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</si>
  <si>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</si>
  <si>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</si>
  <si>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</si>
  <si>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</si>
  <si>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</si>
  <si>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</si>
  <si>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</si>
  <si>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</si>
  <si>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</si>
  <si>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</si>
  <si>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</si>
  <si>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</si>
  <si>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</si>
  <si>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</si>
  <si>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</si>
  <si>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</si>
  <si>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</si>
  <si>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</si>
  <si>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</si>
  <si>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</si>
  <si>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</si>
  <si>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</si>
  <si>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</si>
  <si>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</si>
  <si>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</si>
  <si>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</si>
  <si>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</si>
  <si>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</si>
  <si>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</si>
  <si>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</si>
  <si>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</si>
  <si>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</si>
  <si>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</si>
  <si>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</si>
  <si>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</si>
  <si>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</si>
  <si>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</si>
  <si>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</si>
  <si>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</si>
  <si>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</si>
  <si>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</si>
  <si>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</si>
  <si>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</si>
  <si>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</si>
  <si>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</si>
  <si>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</si>
  <si>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</si>
  <si>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</si>
  <si>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</si>
  <si>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</si>
  <si>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</si>
  <si>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</si>
  <si>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</si>
  <si>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</si>
  <si>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</si>
  <si>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</si>
  <si>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</si>
  <si>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</si>
  <si>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</si>
  <si>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</si>
  <si>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</si>
  <si>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</si>
  <si>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</si>
  <si>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</si>
  <si>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</si>
  <si>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</si>
  <si>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</si>
  <si>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</si>
  <si>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</si>
  <si>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</si>
  <si>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</si>
  <si>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</si>
  <si>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</si>
  <si>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</si>
  <si>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</si>
  <si>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</si>
  <si>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</si>
  <si>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</si>
  <si>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</si>
  <si>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</si>
  <si>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</si>
  <si>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</si>
  <si>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</si>
  <si>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</si>
  <si>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</si>
  <si>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</si>
  <si>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</si>
  <si>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</si>
  <si>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</si>
  <si>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</si>
  <si>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</si>
  <si>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</si>
  <si>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</si>
  <si>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</si>
  <si>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</si>
  <si>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</si>
  <si>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</si>
  <si>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</si>
  <si>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</si>
  <si>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</si>
  <si>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</si>
  <si>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</si>
  <si>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</si>
  <si>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</si>
  <si>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</si>
  <si>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</si>
  <si>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</si>
  <si>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</si>
  <si>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</si>
  <si>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</si>
  <si>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</si>
  <si>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</si>
  <si>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</si>
  <si>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</si>
  <si>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</si>
  <si>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</si>
  <si>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</si>
  <si>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</si>
  <si>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</si>
  <si>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</si>
  <si>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</si>
  <si>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</si>
  <si>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</si>
  <si>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</si>
  <si>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</si>
  <si>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</si>
  <si>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</si>
  <si>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</si>
  <si>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</si>
  <si>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</si>
  <si>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</si>
  <si>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</si>
  <si>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</si>
  <si>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</si>
  <si>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</si>
  <si>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</si>
  <si>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</si>
  <si>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</si>
  <si>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</si>
  <si>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</si>
  <si>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</si>
  <si>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</si>
  <si>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</si>
  <si>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</si>
  <si>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</si>
  <si>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</si>
  <si>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</si>
  <si>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</si>
  <si>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</si>
  <si>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</si>
  <si>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</si>
  <si>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</si>
  <si>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</si>
  <si>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</si>
  <si>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</si>
  <si>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</si>
  <si>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</si>
  <si>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</si>
  <si>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</si>
  <si>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</si>
  <si>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</si>
  <si>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</si>
  <si>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</si>
  <si>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</si>
  <si>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</si>
  <si>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</si>
  <si>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</si>
  <si>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</si>
  <si>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</si>
  <si>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</si>
  <si>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</si>
  <si>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</si>
  <si>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</si>
  <si>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</si>
  <si>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</si>
  <si>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</si>
  <si>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</si>
  <si>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</si>
  <si>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</si>
  <si>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</si>
  <si>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</si>
  <si>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</si>
  <si>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</si>
  <si>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</si>
  <si>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</si>
  <si>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</si>
  <si>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</si>
  <si>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</si>
  <si>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</si>
  <si>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</si>
  <si>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</si>
  <si>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</si>
  <si>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</si>
  <si>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</si>
  <si>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</si>
  <si>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</si>
  <si>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</si>
  <si>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</si>
  <si>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</si>
  <si>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</si>
  <si>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</si>
  <si>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</si>
  <si>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</si>
  <si>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</si>
  <si>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</si>
  <si>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</si>
  <si>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</si>
  <si>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</si>
  <si>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</si>
  <si>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</si>
  <si>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</si>
  <si>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</si>
  <si>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</si>
  <si>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</si>
  <si>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</si>
  <si>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</si>
  <si>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</si>
  <si>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</si>
  <si>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</si>
  <si>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</si>
  <si>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</si>
  <si>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</si>
  <si>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</si>
  <si>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</si>
  <si>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</si>
  <si>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</si>
  <si>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</si>
  <si>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</si>
  <si>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</si>
  <si>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</si>
  <si>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</si>
  <si>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</si>
  <si>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</si>
  <si>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</si>
  <si>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</si>
  <si>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</si>
  <si>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</si>
  <si>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</si>
  <si>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</si>
  <si>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</si>
  <si>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</si>
  <si>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</si>
  <si>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</si>
  <si>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</si>
  <si>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</si>
  <si>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</si>
  <si>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</si>
  <si>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</si>
  <si>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</si>
  <si>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</si>
  <si>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</si>
  <si>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</si>
  <si>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</si>
  <si>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</si>
  <si>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</si>
  <si>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</si>
  <si>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</si>
  <si>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</si>
  <si>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</si>
  <si>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</si>
  <si>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</si>
  <si>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</si>
  <si>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</si>
  <si>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</si>
  <si>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</si>
  <si>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</si>
  <si>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</si>
  <si>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</si>
  <si>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</si>
  <si>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</si>
  <si>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</si>
  <si>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</si>
  <si>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</si>
  <si>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</si>
  <si>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</si>
  <si>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</si>
  <si>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</si>
  <si>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</si>
  <si>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</si>
  <si>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</si>
  <si>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</si>
  <si>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</si>
  <si>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</si>
  <si>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</si>
  <si>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</si>
  <si>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</si>
  <si>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</si>
  <si>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</si>
  <si>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</si>
  <si>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</si>
  <si>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</si>
  <si>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</si>
  <si>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</si>
  <si>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</si>
  <si>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</si>
  <si>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</si>
  <si>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</si>
  <si>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</si>
  <si>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</si>
  <si>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</si>
  <si>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</si>
  <si>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</si>
  <si>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</si>
  <si>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</si>
  <si>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</si>
  <si>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</si>
  <si>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</si>
  <si>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</si>
  <si>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</si>
  <si>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</si>
  <si>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</si>
  <si>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</si>
  <si>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</si>
  <si>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</si>
  <si>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</si>
  <si>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</si>
  <si>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</si>
  <si>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</si>
  <si>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</si>
  <si>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</si>
  <si>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</si>
  <si>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</si>
  <si>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</si>
  <si>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</si>
  <si>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</si>
  <si>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</si>
  <si>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</si>
  <si>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</si>
  <si>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</si>
  <si>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</si>
  <si>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</si>
  <si>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</si>
  <si>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</si>
  <si>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</si>
  <si>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</si>
  <si>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</si>
  <si>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</si>
  <si>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</si>
  <si>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</si>
  <si>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</si>
  <si>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</si>
  <si>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</si>
  <si>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</si>
  <si>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</si>
  <si>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</si>
  <si>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</si>
  <si>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</si>
  <si>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</si>
  <si>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</si>
  <si>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</si>
  <si>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</si>
  <si>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</si>
  <si>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</si>
  <si>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</si>
  <si>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</si>
  <si>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</si>
  <si>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</si>
  <si>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</si>
  <si>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</si>
  <si>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</si>
  <si>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</si>
  <si>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</si>
  <si>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</si>
  <si>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</si>
  <si>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</si>
  <si>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</si>
  <si>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</si>
  <si>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</si>
  <si>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</si>
  <si>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</si>
  <si>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</si>
  <si>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</si>
  <si>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</si>
  <si>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</si>
  <si>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</si>
  <si>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</si>
  <si>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</si>
  <si>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</si>
  <si>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</si>
  <si>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</si>
  <si>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</si>
  <si>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</si>
  <si>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</si>
  <si>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</si>
  <si>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</si>
  <si>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</si>
  <si>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</si>
  <si>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</si>
  <si>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</si>
  <si>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</si>
  <si>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</si>
  <si>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</si>
  <si>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</si>
  <si>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</si>
  <si>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</si>
  <si>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</si>
  <si>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</si>
  <si>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</si>
  <si>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</si>
  <si>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</si>
  <si>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</si>
  <si>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</si>
  <si>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</si>
  <si>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</si>
  <si>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</si>
  <si>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</si>
  <si>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</si>
  <si>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</si>
  <si>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</si>
  <si>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</si>
  <si>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</si>
  <si>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</si>
  <si>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</si>
  <si>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</si>
  <si>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</si>
  <si>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</si>
  <si>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</si>
  <si>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</si>
  <si>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</si>
  <si>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</si>
  <si>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</si>
  <si>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</si>
  <si>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</si>
  <si>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</si>
  <si>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</si>
  <si>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</si>
  <si>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</si>
  <si>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</si>
  <si>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</si>
  <si>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</si>
  <si>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</si>
  <si>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</si>
  <si>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</si>
  <si>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</si>
  <si>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</si>
  <si>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</si>
  <si>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</si>
  <si>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</si>
  <si>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</si>
  <si>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</si>
  <si>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</si>
  <si>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</si>
  <si>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</si>
  <si>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</si>
  <si>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</si>
  <si>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</si>
  <si>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</si>
  <si>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</si>
  <si>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</si>
  <si>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</si>
  <si>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</si>
  <si>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</si>
  <si>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</si>
  <si>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</si>
  <si>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</si>
  <si>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</si>
  <si>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</si>
  <si>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</si>
  <si>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</si>
  <si>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</si>
  <si>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</si>
  <si>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</si>
  <si>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</si>
  <si>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</si>
  <si>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</si>
  <si>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</si>
  <si>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</si>
  <si>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</si>
  <si>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</si>
  <si>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</si>
  <si>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</si>
  <si>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</si>
  <si>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</si>
  <si>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</si>
  <si>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</si>
  <si>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</si>
  <si>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</si>
  <si>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</si>
  <si>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</si>
  <si>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</si>
  <si>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</si>
  <si>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</si>
  <si>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</si>
  <si>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</si>
  <si>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</si>
  <si>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</si>
  <si>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</si>
  <si>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</si>
  <si>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</si>
  <si>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</si>
  <si>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</si>
  <si>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</si>
  <si>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</si>
  <si>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</si>
  <si>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</si>
  <si>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</si>
  <si>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</si>
  <si>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</si>
  <si>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</si>
  <si>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</si>
  <si>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</si>
  <si>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</si>
  <si>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</si>
  <si>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</si>
  <si>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</si>
  <si>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</si>
  <si>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</si>
  <si>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</si>
  <si>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</si>
  <si>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</si>
  <si>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</si>
  <si>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</si>
  <si>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</si>
  <si>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</si>
  <si>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</si>
  <si>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</si>
  <si>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</si>
  <si>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</si>
  <si>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</si>
  <si>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</si>
  <si>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</si>
  <si>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</si>
  <si>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</si>
  <si>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</si>
  <si>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</si>
  <si>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</si>
  <si>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</si>
  <si>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</si>
  <si>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</si>
  <si>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</si>
  <si>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</si>
  <si>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</si>
  <si>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</si>
  <si>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</si>
  <si>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</si>
  <si>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</si>
  <si>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</si>
  <si>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</si>
  <si>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</si>
  <si>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</si>
  <si>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</si>
  <si>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</si>
  <si>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</si>
  <si>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</si>
  <si>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</si>
  <si>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</si>
  <si>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</si>
  <si>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</si>
  <si>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</si>
  <si>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</si>
  <si>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</si>
  <si>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</si>
  <si>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</si>
  <si>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</si>
  <si>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</si>
  <si>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</si>
  <si>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</si>
  <si>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</si>
  <si>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</si>
  <si>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</si>
  <si>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</si>
  <si>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</si>
  <si>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</si>
  <si>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</si>
  <si>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</si>
  <si>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</si>
  <si>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</si>
  <si>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</si>
  <si>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</si>
  <si>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</si>
  <si>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</si>
  <si>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</si>
  <si>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</si>
  <si>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</si>
  <si>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</si>
  <si>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</si>
  <si>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</si>
  <si>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</si>
  <si>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</si>
  <si>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</si>
  <si>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</si>
  <si>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</si>
  <si>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</si>
  <si>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</si>
  <si>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</si>
  <si>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</si>
  <si>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</si>
  <si>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</si>
  <si>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</si>
  <si>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</si>
  <si>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</si>
  <si>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</si>
  <si>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</si>
  <si>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</si>
  <si>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</si>
  <si>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</si>
  <si>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</si>
  <si>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</si>
  <si>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</si>
  <si>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</si>
  <si>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</si>
  <si>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</si>
  <si>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</si>
  <si>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</si>
  <si>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</si>
  <si>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</si>
  <si>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</si>
  <si>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</si>
  <si>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</si>
  <si>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</si>
  <si>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</si>
  <si>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</si>
  <si>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</si>
  <si>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</si>
  <si>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</si>
  <si>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</si>
  <si>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</si>
  <si>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</si>
  <si>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</si>
  <si>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</si>
  <si>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</si>
  <si>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</si>
  <si>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</si>
  <si>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</si>
  <si>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</si>
  <si>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</si>
  <si>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</si>
  <si>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</si>
  <si>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</si>
  <si>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</si>
  <si>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</si>
  <si>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</si>
  <si>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</si>
  <si>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</si>
  <si>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</si>
  <si>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</si>
  <si>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</si>
  <si>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</si>
  <si>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</si>
  <si>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</si>
  <si>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</si>
  <si>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</si>
  <si>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</si>
  <si>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</si>
  <si>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</si>
  <si>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</si>
  <si>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</si>
  <si>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</si>
  <si>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</si>
  <si>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</si>
  <si>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</si>
  <si>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</si>
  <si>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</si>
  <si>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</si>
  <si>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</si>
  <si>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</si>
  <si>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</si>
  <si>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</si>
  <si>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</si>
  <si>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</si>
  <si>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</si>
  <si>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</si>
  <si>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</si>
  <si>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</si>
  <si>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</si>
  <si>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</si>
  <si>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</si>
  <si>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</si>
  <si>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</si>
  <si>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</si>
  <si>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</si>
  <si>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</si>
  <si>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</si>
  <si>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</si>
  <si>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</si>
  <si>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</si>
  <si>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</si>
  <si>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</si>
  <si>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</si>
  <si>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</si>
  <si>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</si>
  <si>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</si>
  <si>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</si>
  <si>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</si>
  <si>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</si>
  <si>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</si>
  <si>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</si>
  <si>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</si>
  <si>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</si>
  <si>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</si>
  <si>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</si>
  <si>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</si>
  <si>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</si>
  <si>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</si>
  <si>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</si>
  <si>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</si>
  <si>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</si>
  <si>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</si>
  <si>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</si>
  <si>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</si>
  <si>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</si>
  <si>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</si>
  <si>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</si>
  <si>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</si>
  <si>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</si>
  <si>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</si>
  <si>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</si>
  <si>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</si>
  <si>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</si>
  <si>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</si>
  <si>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</si>
  <si>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</si>
  <si>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</si>
  <si>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</si>
  <si>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</si>
  <si>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</si>
  <si>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</si>
  <si>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</si>
  <si>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</si>
  <si>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</si>
  <si>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</si>
  <si>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</si>
  <si>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</si>
  <si>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</si>
  <si>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</si>
  <si>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</si>
  <si>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</si>
  <si>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</si>
  <si>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</si>
  <si>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</si>
  <si>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</si>
  <si>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</si>
  <si>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</si>
  <si>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</si>
  <si>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</si>
  <si>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</si>
  <si>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</si>
  <si>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</si>
  <si>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</si>
  <si>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</si>
  <si>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</si>
  <si>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</si>
  <si>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</si>
  <si>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</si>
  <si>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</si>
  <si>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</si>
  <si>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</si>
  <si>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</si>
  <si>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</si>
  <si>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</si>
  <si>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</si>
  <si>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</si>
  <si>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</si>
  <si>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</si>
  <si>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</si>
  <si>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</si>
  <si>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</si>
  <si>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</si>
  <si>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</si>
  <si>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</si>
  <si>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</si>
  <si>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</si>
  <si>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</si>
  <si>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</si>
  <si>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</si>
  <si>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</si>
  <si>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</si>
  <si>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</si>
  <si>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</si>
  <si>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</si>
  <si>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</si>
  <si>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</si>
  <si>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</si>
  <si>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</si>
  <si>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</si>
  <si>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</si>
  <si>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</si>
  <si>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</si>
  <si>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</si>
  <si>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</si>
  <si>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</si>
  <si>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</si>
  <si>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</si>
  <si>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</si>
  <si>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</si>
  <si>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</si>
  <si>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</si>
  <si>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</si>
  <si>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</si>
  <si>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</si>
  <si>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</si>
  <si>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</si>
  <si>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</si>
  <si>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</si>
  <si>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</si>
  <si>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</si>
  <si>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</si>
  <si>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</si>
  <si>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</si>
  <si>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</si>
  <si>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</si>
  <si>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</si>
  <si>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</si>
  <si>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</si>
  <si>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</si>
  <si>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</si>
  <si>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</si>
  <si>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</si>
  <si>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</si>
  <si>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</si>
  <si>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</si>
  <si>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</si>
  <si>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</si>
  <si>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</si>
  <si>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</si>
  <si>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</si>
  <si>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</si>
  <si>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</si>
  <si>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</si>
  <si>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</si>
  <si>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</si>
  <si>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</si>
  <si>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</si>
  <si>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</si>
  <si>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</si>
  <si>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</si>
  <si>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</si>
  <si>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</si>
  <si>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</si>
  <si>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</si>
  <si>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</si>
  <si>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</si>
  <si>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</si>
  <si>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</si>
  <si>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</si>
  <si>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</si>
  <si>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</si>
  <si>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</si>
  <si>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</si>
  <si>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</si>
  <si>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</si>
  <si>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</si>
  <si>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</si>
  <si>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</si>
  <si>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</si>
  <si>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</si>
  <si>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</si>
  <si>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</si>
  <si>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</si>
  <si>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</si>
  <si>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</si>
  <si>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</si>
  <si>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</si>
  <si>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</si>
  <si>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</si>
  <si>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</si>
  <si>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</si>
  <si>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</si>
  <si>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</si>
  <si>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</si>
  <si>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</si>
  <si>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</si>
  <si>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</si>
  <si>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</si>
  <si>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</si>
  <si>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</si>
  <si>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</si>
  <si>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</si>
  <si>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</si>
  <si>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</si>
  <si>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</si>
  <si>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</si>
  <si>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</si>
  <si>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</si>
  <si>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</si>
  <si>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</si>
  <si>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</si>
  <si>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</si>
  <si>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</si>
  <si>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</si>
  <si>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</si>
  <si>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</si>
  <si>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</si>
  <si>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</si>
  <si>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</si>
  <si>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</si>
  <si>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</si>
  <si>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</si>
  <si>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</si>
  <si>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</si>
  <si>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</si>
  <si>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</si>
  <si>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</si>
  <si>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</si>
  <si>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</si>
  <si>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</si>
  <si>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</si>
  <si>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</si>
  <si>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</si>
  <si>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</si>
  <si>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</si>
  <si>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</si>
  <si>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</si>
  <si>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</si>
  <si>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</si>
  <si>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</si>
  <si>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</si>
  <si>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</si>
  <si>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</si>
  <si>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</si>
  <si>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</si>
  <si>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</si>
  <si>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</si>
  <si>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</si>
  <si>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</si>
  <si>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</si>
  <si>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</si>
  <si>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</si>
  <si>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</si>
  <si>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</si>
  <si>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</si>
  <si>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</si>
  <si>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</si>
  <si>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</si>
  <si>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</si>
  <si>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</si>
  <si>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</si>
  <si>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</si>
  <si>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</si>
  <si>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</si>
  <si>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</si>
  <si>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</si>
  <si>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</si>
  <si>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</si>
  <si>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</si>
  <si>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</si>
  <si>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</si>
  <si>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</si>
  <si>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</si>
  <si>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</si>
  <si>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</si>
  <si>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</si>
  <si>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</si>
  <si>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</si>
  <si>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</si>
  <si>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</si>
  <si>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</si>
  <si>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</si>
  <si>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</si>
  <si>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</si>
  <si>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</si>
  <si>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</si>
  <si>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</si>
  <si>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</si>
  <si>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</si>
  <si>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</si>
  <si>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</si>
  <si>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</si>
  <si>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</si>
  <si>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</si>
  <si>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</si>
  <si>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</si>
  <si>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</si>
  <si>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</si>
  <si>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</si>
  <si>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</si>
  <si>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</si>
  <si>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</si>
  <si>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</si>
  <si>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</si>
  <si>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</si>
  <si>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</si>
  <si>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</si>
  <si>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</si>
  <si>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</si>
  <si>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</si>
  <si>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</si>
  <si>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</si>
  <si>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</si>
  <si>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</si>
  <si>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</si>
  <si>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</si>
  <si>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</si>
  <si>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</si>
  <si>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</si>
  <si>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</si>
  <si>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</si>
  <si>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</si>
  <si>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</si>
  <si>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</si>
  <si>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</si>
  <si>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</si>
  <si>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</si>
  <si>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</si>
  <si>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</si>
  <si>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</si>
  <si>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</si>
  <si>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</si>
  <si>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</si>
  <si>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</si>
  <si>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</si>
  <si>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</si>
  <si>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</si>
  <si>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</si>
  <si>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</si>
  <si>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</si>
  <si>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</si>
  <si>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</si>
  <si>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</si>
  <si>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</si>
  <si>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</si>
  <si>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</si>
  <si>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</si>
  <si>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</si>
  <si>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</si>
  <si>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</si>
  <si>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</si>
  <si>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</si>
  <si>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</si>
  <si>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</si>
  <si>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</si>
  <si>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</si>
  <si>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</si>
  <si>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</si>
  <si>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</si>
  <si>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</si>
  <si>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</si>
  <si>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</si>
  <si>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</si>
  <si>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</si>
  <si>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</si>
  <si>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</si>
  <si>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</si>
  <si>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</si>
  <si>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</si>
  <si>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</si>
  <si>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</si>
  <si>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</si>
  <si>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</si>
  <si>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</si>
  <si>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</si>
  <si>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</si>
  <si>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</si>
  <si>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</si>
  <si>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</si>
  <si>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</si>
  <si>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</si>
  <si>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</si>
  <si>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</si>
  <si>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</si>
  <si>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</si>
  <si>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</si>
  <si>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</si>
  <si>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</si>
  <si>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</si>
  <si>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</si>
  <si>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</si>
  <si>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</si>
  <si>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</si>
  <si>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</si>
  <si>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</si>
  <si>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</si>
  <si>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</si>
  <si>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</si>
  <si>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</si>
  <si>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</si>
  <si>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</si>
  <si>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</si>
  <si>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</si>
  <si>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</si>
  <si>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</si>
  <si>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</si>
  <si>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</si>
  <si>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</si>
  <si>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</si>
  <si>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</si>
  <si>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</si>
  <si>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</si>
  <si>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</si>
  <si>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</si>
  <si>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</si>
  <si>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</si>
  <si>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</si>
  <si>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</si>
  <si>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</si>
  <si>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</si>
  <si>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</si>
  <si>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</si>
  <si>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</si>
  <si>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</si>
  <si>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</si>
  <si>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</si>
  <si>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</si>
  <si>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</si>
  <si>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</si>
  <si>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</si>
  <si>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</si>
  <si>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</si>
  <si>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</si>
  <si>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</si>
  <si>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</si>
  <si>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</si>
  <si>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</si>
  <si>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</si>
  <si>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</si>
  <si>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</si>
  <si>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</si>
  <si>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</si>
  <si>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</si>
  <si>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</si>
  <si>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</si>
  <si>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</si>
  <si>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</si>
  <si>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</si>
  <si>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</si>
  <si>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</si>
  <si>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</si>
  <si>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</si>
  <si>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</si>
  <si>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</si>
  <si>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</si>
  <si>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</si>
  <si>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</si>
  <si>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</si>
  <si>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</si>
  <si>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</si>
  <si>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</si>
  <si>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</si>
  <si>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</si>
  <si>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</si>
  <si>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</si>
  <si>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</si>
  <si>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</si>
  <si>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</si>
  <si>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</si>
  <si>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</si>
  <si>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</si>
  <si>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</si>
  <si>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</si>
  <si>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</si>
  <si>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</si>
  <si>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</si>
  <si>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</si>
  <si>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</si>
  <si>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</si>
  <si>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</si>
  <si>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</si>
  <si>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</si>
  <si>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</si>
  <si>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</si>
  <si>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</si>
  <si>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</si>
  <si>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</si>
  <si>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</si>
  <si>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</si>
  <si>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其他：</t>
  </si>
  <si>
    <r>
      <t xml:space="preserve"> </t>
    </r>
    <r>
      <rPr>
        <sz val="12"/>
        <color indexed="8"/>
        <rFont val="宋体"/>
        <family val="3"/>
        <charset val="134"/>
      </rPr>
      <t>海南省海口市</t>
    </r>
    <phoneticPr fontId="6" type="noConversion"/>
  </si>
  <si>
    <t>核定资产</t>
  </si>
  <si>
    <t>房地产市场价值</t>
  </si>
  <si>
    <t>地上</t>
  </si>
  <si>
    <t>酒店</t>
  </si>
  <si>
    <t>办公楼</t>
  </si>
  <si>
    <t>酒店</t>
    <phoneticPr fontId="7" type="noConversion"/>
  </si>
  <si>
    <t>办公</t>
    <phoneticPr fontId="7" type="noConversion"/>
  </si>
  <si>
    <t>是</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</si>
  <si>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</si>
  <si>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</si>
  <si>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</si>
  <si>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</si>
  <si>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</si>
  <si>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</si>
  <si>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</si>
  <si>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</si>
  <si>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</si>
  <si>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</si>
  <si>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</si>
  <si>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</si>
  <si>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</si>
  <si>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</si>
  <si>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</si>
  <si>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</si>
  <si>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</si>
  <si>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</si>
  <si>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</si>
  <si>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</si>
  <si>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</si>
  <si>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</si>
  <si>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</si>
  <si>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</si>
  <si>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</si>
  <si>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</si>
  <si>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</si>
  <si>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</si>
  <si>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</si>
  <si>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</si>
  <si>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</si>
  <si>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</si>
  <si>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</si>
  <si>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</si>
  <si>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</si>
  <si>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</si>
  <si>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</si>
  <si>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</si>
  <si>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</si>
  <si>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</si>
  <si>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</si>
  <si>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</si>
  <si>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</si>
  <si>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</si>
  <si>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</si>
  <si>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</si>
  <si>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海口市西海岸新区南片区</t>
  </si>
  <si>
    <t>海口市</t>
  </si>
  <si>
    <t>商业/办公用地</t>
  </si>
  <si>
    <t>秀英区</t>
  </si>
  <si>
    <t>挂牌</t>
  </si>
  <si>
    <t>D-02</t>
  </si>
  <si>
    <t>其他商服用地</t>
  </si>
  <si>
    <t>≤1.2</t>
  </si>
  <si>
    <t>≤50%</t>
  </si>
  <si>
    <t>≤24米</t>
  </si>
  <si>
    <t>未开工</t>
  </si>
  <si>
    <t>2018-12-01</t>
  </si>
  <si>
    <t>2018-12-21</t>
  </si>
  <si>
    <t>2018-12-30</t>
  </si>
  <si>
    <t>26-5[2018]26-5号</t>
  </si>
  <si>
    <t>已成交</t>
  </si>
  <si>
    <t>海南华谊冯小刚文化旅游实业有限公司</t>
  </si>
  <si>
    <t>40年</t>
  </si>
  <si>
    <t>3星</t>
  </si>
  <si>
    <t>J-02</t>
  </si>
  <si>
    <t>≤1</t>
  </si>
  <si>
    <t>26-2[2018]26-2号</t>
  </si>
  <si>
    <t>B-06</t>
  </si>
  <si>
    <t>2018-12-02</t>
  </si>
  <si>
    <t>26-11[2018]26-11号</t>
  </si>
  <si>
    <t>C-06</t>
  </si>
  <si>
    <t>26-6[2018]26-6号</t>
  </si>
  <si>
    <t>2星</t>
  </si>
  <si>
    <t>B-09</t>
  </si>
  <si>
    <t>26-8[2018]26-8号</t>
  </si>
  <si>
    <t>D-01-1</t>
  </si>
  <si>
    <t>26-3[2018]26-3号</t>
  </si>
  <si>
    <t>J-03-1</t>
  </si>
  <si>
    <t>26-1[2018]26-1号</t>
  </si>
  <si>
    <t>B-03</t>
  </si>
  <si>
    <t>26-9[2018]26-9号</t>
  </si>
  <si>
    <t>1星</t>
  </si>
  <si>
    <t>B-05</t>
  </si>
  <si>
    <t>26-10[2018]26-10号</t>
  </si>
  <si>
    <t>D-01-2</t>
  </si>
  <si>
    <t>26-4[2018]26-4号</t>
  </si>
  <si>
    <t>J-03-2</t>
  </si>
  <si>
    <t>26[2018]26号</t>
  </si>
  <si>
    <t>B-08</t>
  </si>
  <si>
    <t>26-7[2018]26-7号</t>
  </si>
  <si>
    <t>地块五</t>
  </si>
  <si>
    <t>商务金融用地</t>
  </si>
  <si>
    <t>≤5</t>
  </si>
  <si>
    <t>≤35%</t>
  </si>
  <si>
    <t>≤100米</t>
  </si>
  <si>
    <t>2018-11-30</t>
  </si>
  <si>
    <t>2018-12-20</t>
  </si>
  <si>
    <t>2018-12-29</t>
  </si>
  <si>
    <t>24[2018]24号-6</t>
  </si>
  <si>
    <t>海南复兴城产业园投资管理有限公司</t>
  </si>
  <si>
    <t>4星</t>
  </si>
  <si>
    <t>地块六</t>
  </si>
  <si>
    <t>≤2.4</t>
  </si>
  <si>
    <t>≤68米</t>
  </si>
  <si>
    <t>24[2018]24号-2</t>
  </si>
  <si>
    <t>地块七</t>
  </si>
  <si>
    <t>24[2018]24号-3</t>
  </si>
  <si>
    <t>地块四</t>
  </si>
  <si>
    <t>≤2.3</t>
  </si>
  <si>
    <t>24[2018]24号-5</t>
  </si>
  <si>
    <t>海口市滨海大道西侧、新港经六街以东</t>
  </si>
  <si>
    <t>批发零售用地</t>
  </si>
  <si>
    <t>≤2.26</t>
  </si>
  <si>
    <t>≤55%</t>
  </si>
  <si>
    <t>≤50米</t>
  </si>
  <si>
    <t>2018-11-15</t>
  </si>
  <si>
    <t>2018-12-06</t>
  </si>
  <si>
    <t>2018-12-17</t>
  </si>
  <si>
    <t>18[2018]18号-5</t>
  </si>
  <si>
    <t>国旅(海口)投资发展有限公司</t>
  </si>
  <si>
    <t>≤1.7</t>
  </si>
  <si>
    <t>≤30米</t>
  </si>
  <si>
    <t>18[2018]18号-2</t>
  </si>
  <si>
    <t>住宿餐饮用地</t>
  </si>
  <si>
    <t>≤2.8</t>
  </si>
  <si>
    <t>≤30%</t>
  </si>
  <si>
    <t>≤80米</t>
  </si>
  <si>
    <t>18[2018]18号-4</t>
  </si>
  <si>
    <t>地块二</t>
  </si>
  <si>
    <t>≤2.5</t>
  </si>
  <si>
    <t>≤40%</t>
  </si>
  <si>
    <t>18[2018]18号-1</t>
  </si>
  <si>
    <t>海口市博义盐灶棚改项目B-08地块</t>
  </si>
  <si>
    <t>龙华区</t>
  </si>
  <si>
    <t>拍卖</t>
  </si>
  <si>
    <t>B-08地块</t>
  </si>
  <si>
    <t>≤4</t>
  </si>
  <si>
    <t>≤55</t>
  </si>
  <si>
    <t>≤80</t>
  </si>
  <si>
    <t>开工中</t>
  </si>
  <si>
    <t>2016-10-28</t>
  </si>
  <si>
    <t>2016-11-28</t>
  </si>
  <si>
    <t>31[2016]31号</t>
  </si>
  <si>
    <t>海口农村商业银行股份有限公司</t>
  </si>
  <si>
    <t>海甸岛沿江西路南侧</t>
  </si>
  <si>
    <t>美兰区</t>
  </si>
  <si>
    <t>≤35</t>
  </si>
  <si>
    <t>2016-09-14</t>
  </si>
  <si>
    <t>2016-10-09</t>
  </si>
  <si>
    <t>25[2016]25号</t>
  </si>
  <si>
    <t>海南天汇房地产开发有限公司</t>
  </si>
  <si>
    <t>秀英区秀英大道东侧</t>
  </si>
  <si>
    <t>≤2.494</t>
  </si>
  <si>
    <t>≤34</t>
  </si>
  <si>
    <t>2016-05-20</t>
  </si>
  <si>
    <t>2016-06-15</t>
  </si>
  <si>
    <t>13[2016]13号</t>
  </si>
  <si>
    <t>海南泰河置业有限公司</t>
  </si>
  <si>
    <t>海口市龙华区城西镇丁村</t>
  </si>
  <si>
    <t>≤3.5</t>
  </si>
  <si>
    <t>已完工</t>
  </si>
  <si>
    <t>2016-03-23</t>
  </si>
  <si>
    <t>2016-04-15</t>
  </si>
  <si>
    <t>6[2016]6号</t>
  </si>
  <si>
    <t>唐建华、唐洁、苏冠文</t>
  </si>
  <si>
    <t>海口市长秀片区蓝城大道西与紫园路交叉口西北角</t>
  </si>
  <si>
    <t>≤2</t>
  </si>
  <si>
    <t>≤50</t>
  </si>
  <si>
    <t>2016-02-06</t>
  </si>
  <si>
    <t>2016-03-11</t>
  </si>
  <si>
    <t>4[2016]4号</t>
  </si>
  <si>
    <t>海南恩祥房地产开发有限公司</t>
  </si>
  <si>
    <t>演丰镇演美路北侧</t>
  </si>
  <si>
    <t>≤1.07</t>
  </si>
  <si>
    <t>≤42.5</t>
  </si>
  <si>
    <t>≤24</t>
  </si>
  <si>
    <t>2016-03-09</t>
  </si>
  <si>
    <t>(2016)第2号</t>
  </si>
  <si>
    <t>海南美信置业有限公司</t>
  </si>
  <si>
    <t>海口市茉莉路与民生东路交叉口东北侧</t>
  </si>
  <si>
    <t>≤3</t>
  </si>
  <si>
    <t>2016-02-02</t>
  </si>
  <si>
    <t>2016-03-02</t>
  </si>
  <si>
    <t>1[2016]1号</t>
  </si>
  <si>
    <t>海南灵狮创意产业投资有限公司</t>
  </si>
  <si>
    <t>海口市广场路北侧、椰树门广场地下</t>
  </si>
  <si>
    <t>2015-12-28</t>
  </si>
  <si>
    <t>2016-01-22</t>
  </si>
  <si>
    <t>31[2015]31号</t>
  </si>
  <si>
    <t>海南城昭房地产开发有限公司</t>
  </si>
  <si>
    <t>海口市新大洲大道南侧玉龙泉湿地公园范围内</t>
  </si>
  <si>
    <t>琼山区</t>
  </si>
  <si>
    <t>7号地块(序号5)</t>
  </si>
  <si>
    <t>≤0.6</t>
  </si>
  <si>
    <t>2015-12-10</t>
  </si>
  <si>
    <t>2016-01-05</t>
  </si>
  <si>
    <t>30[2015]30号-5</t>
  </si>
  <si>
    <t>海南汇鑫源置业有限公司、海南玉龙泉建设有限公司、海口天峡假日开发有限公司</t>
  </si>
  <si>
    <t>9-1号地块(序号6)</t>
  </si>
  <si>
    <t>30[2015]30号-6</t>
  </si>
  <si>
    <t>西海岸新区南片区</t>
  </si>
  <si>
    <t>E0602-S-03</t>
  </si>
  <si>
    <t>批发零售(含住宿餐饮)</t>
  </si>
  <si>
    <t>≤1.1</t>
  </si>
  <si>
    <t>2015-12-04</t>
  </si>
  <si>
    <t>2015-12-30</t>
  </si>
  <si>
    <t>(2015)第29号-4</t>
  </si>
  <si>
    <t>长影金源(海南)实业有限公司、长影(海南)置业有限公司、长影(海南)文化旅游有限公司、长影滨海(海南)房地产开发有限公司、长影通达(海南)房地产开发有限公司、长影金岛(海南)房地产开发有限公司等</t>
  </si>
  <si>
    <t>E0602-S-04</t>
  </si>
  <si>
    <t>≤1.15</t>
  </si>
  <si>
    <t>(2015)第29号-5</t>
  </si>
  <si>
    <t>E0602-S-01</t>
  </si>
  <si>
    <t>(2015)第29号-7</t>
  </si>
  <si>
    <t>海口市长流起步区2401地块</t>
  </si>
  <si>
    <t>批发零售用地(B1)(含住宿餐饮、其他商服用地)兼容公共设施用地(邮政设施用地)</t>
  </si>
  <si>
    <t>≤3.77</t>
  </si>
  <si>
    <t>≤26.9</t>
  </si>
  <si>
    <t>≤120</t>
  </si>
  <si>
    <t>2015-11-20</t>
  </si>
  <si>
    <t>2015-12-15</t>
  </si>
  <si>
    <t>(2015)第24号</t>
  </si>
  <si>
    <t>中国联合网络通信有限公司海南省分公司</t>
  </si>
  <si>
    <t>商业40年,公共设施用地50年</t>
  </si>
  <si>
    <t>海口会展购物中心东侧</t>
  </si>
  <si>
    <t>2015-11-03</t>
  </si>
  <si>
    <t>2015-11-23</t>
  </si>
  <si>
    <t>2015-12-03</t>
  </si>
  <si>
    <t>23[2015]23号</t>
  </si>
  <si>
    <t>海口会展中心建设有限公司</t>
  </si>
  <si>
    <t>海口市滨江西路南北两侧</t>
  </si>
  <si>
    <t>≤20</t>
  </si>
  <si>
    <t>2015-09-02</t>
  </si>
  <si>
    <t>2015-09-29</t>
  </si>
  <si>
    <t>16[2015]16号-6</t>
  </si>
  <si>
    <t>16[2015]16号-5</t>
  </si>
  <si>
    <t>海口凯利盛房地产开发有限公司</t>
  </si>
  <si>
    <t>16[2015]16号-4</t>
  </si>
  <si>
    <t>西海岸南海明珠人工岛一期</t>
  </si>
  <si>
    <t>≤1.5</t>
  </si>
  <si>
    <t>≤40</t>
  </si>
  <si>
    <t>≤18</t>
  </si>
  <si>
    <t>2015-08-21</t>
  </si>
  <si>
    <t>2015-09-15</t>
  </si>
  <si>
    <t>14[2015]14号-4</t>
  </si>
  <si>
    <t>海南海岛(彩湾)投资有限公司</t>
  </si>
  <si>
    <t>0星</t>
  </si>
  <si>
    <t>B-01</t>
  </si>
  <si>
    <t>≤25</t>
  </si>
  <si>
    <t>14[2015]14号-2</t>
  </si>
  <si>
    <t>海南海岛(良湾)投资有限公司</t>
  </si>
  <si>
    <t>F-01</t>
  </si>
  <si>
    <t>≤30</t>
  </si>
  <si>
    <t>≤15</t>
  </si>
  <si>
    <t>14[2015]14号-8</t>
  </si>
  <si>
    <t>海南海岛(宝湾)投资有限公司</t>
  </si>
  <si>
    <t>B-04</t>
  </si>
  <si>
    <t>14[2015]14号-5</t>
  </si>
  <si>
    <t>海南海岛(禧湾)投资有限公司</t>
  </si>
  <si>
    <t>批发零售用地(含住宿餐饮)</t>
  </si>
  <si>
    <t>2015-08-19</t>
  </si>
  <si>
    <t>2015-09-14</t>
  </si>
  <si>
    <t>13[2015]13号-2</t>
  </si>
  <si>
    <t>长影滨海(海南)房地产开发有限公司</t>
  </si>
  <si>
    <t>E0602-S-06</t>
  </si>
  <si>
    <t>≤1.8</t>
  </si>
  <si>
    <t>13[2015]13号-4</t>
  </si>
  <si>
    <t>长影长滨(海南)房地产开发有限公司</t>
  </si>
  <si>
    <t>E0602-S-02</t>
  </si>
  <si>
    <t>13[2015]13号-1</t>
  </si>
  <si>
    <t>长影利达(海南)房地产开发有限公司</t>
  </si>
  <si>
    <t>13[2015]13号-3</t>
  </si>
  <si>
    <t>长影通达(海南)房地产开发有限公司</t>
  </si>
  <si>
    <t>海口市椰海大道南侧</t>
  </si>
  <si>
    <t>椰海大道南侧</t>
  </si>
  <si>
    <t>批发零售用地(加油站)</t>
  </si>
  <si>
    <t>≤0.4</t>
  </si>
  <si>
    <t>2015-07-03</t>
  </si>
  <si>
    <t>2015-07-28</t>
  </si>
  <si>
    <t>(2015)第12号</t>
  </si>
  <si>
    <t>中国石化销售有限公司海南石油公司</t>
  </si>
  <si>
    <t>海口市滨海大道南侧长流起步区内</t>
  </si>
  <si>
    <t>≤3.232</t>
  </si>
  <si>
    <t>≤27</t>
  </si>
  <si>
    <t>≤70</t>
  </si>
  <si>
    <t>2015-02-16</t>
  </si>
  <si>
    <t>2015-03-10</t>
  </si>
  <si>
    <t>01[2015]01号</t>
  </si>
  <si>
    <t>海南英大房地产开发有限公司</t>
  </si>
  <si>
    <t>海口市南海大道南侧</t>
  </si>
  <si>
    <t>小于或等于1.1</t>
  </si>
  <si>
    <t>2014-12-08</t>
  </si>
  <si>
    <t>2014-12-30</t>
  </si>
  <si>
    <t>32[2014]32号-1</t>
  </si>
  <si>
    <t>长影兴达(海南)房地产开发有限公司</t>
  </si>
  <si>
    <t>小于或等于1</t>
  </si>
  <si>
    <t>32[2014]32号-2</t>
  </si>
  <si>
    <t>商业</t>
    <phoneticPr fontId="31" type="noConversion"/>
  </si>
  <si>
    <t>正常</t>
  </si>
  <si>
    <t>较好</t>
  </si>
  <si>
    <t>一般</t>
  </si>
  <si>
    <t>未包含在土地购买价格中</t>
  </si>
  <si>
    <t>全部缴纳</t>
  </si>
  <si>
    <t>已包含在土地取得成本中</t>
  </si>
  <si>
    <t>钢混</t>
  </si>
  <si>
    <t>非生产用房</t>
  </si>
  <si>
    <t>自定义</t>
  </si>
  <si>
    <t>办公</t>
    <phoneticPr fontId="32" type="noConversion"/>
  </si>
  <si>
    <t>售价</t>
  </si>
  <si>
    <t>成本法</t>
  </si>
  <si>
    <t>收益法（汇总）</t>
  </si>
  <si>
    <t>收益法-酒店</t>
  </si>
  <si>
    <t>收益法-酒店</t>
    <phoneticPr fontId="16" type="noConversion"/>
  </si>
  <si>
    <t>收益法-办公</t>
  </si>
  <si>
    <t>收益法-办公</t>
    <phoneticPr fontId="16" type="noConversion"/>
  </si>
  <si>
    <t>http://www.chinanews.com/sh/2014/01-20/5755595.shtml</t>
    <phoneticPr fontId="3" type="noConversion"/>
  </si>
  <si>
    <t>http://www.haikou.gov.cn/xxgk/szfbjxxgk/zcfg/bmgfxwj/201409/P020140911559721439709.pdf</t>
    <phoneticPr fontId="3" type="noConversion"/>
  </si>
  <si>
    <t>押一</t>
  </si>
  <si>
    <t>按租金收入计税</t>
  </si>
  <si>
    <t>否</t>
  </si>
  <si>
    <t>40</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</si>
  <si>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</si>
  <si>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</si>
  <si>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</si>
  <si>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</si>
  <si>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</si>
  <si>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</si>
  <si>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</si>
  <si>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</si>
  <si>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</si>
  <si>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</si>
  <si>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</si>
  <si>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</si>
  <si>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</si>
  <si>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</si>
  <si>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</si>
  <si>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</si>
  <si>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</si>
  <si>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</si>
  <si>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</si>
  <si>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规则</t>
    <phoneticPr fontId="31" type="noConversion"/>
  </si>
  <si>
    <t>不适宜</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</si>
  <si>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</si>
  <si>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</si>
  <si>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</si>
  <si>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</si>
  <si>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</si>
  <si>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</si>
  <si>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</si>
  <si>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</si>
  <si>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</si>
  <si>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</si>
  <si>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</si>
  <si>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国兴大道</t>
    <phoneticPr fontId="31" type="noConversion"/>
  </si>
  <si>
    <t>多面临街</t>
  </si>
  <si>
    <t>双面临街</t>
  </si>
  <si>
    <t>成本比率</t>
  </si>
  <si>
    <t>情况4</t>
  </si>
  <si>
    <t>梁津</t>
  </si>
  <si>
    <t>王鹏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</si>
</sst>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13" fillId="0"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 fontId="54" fillId="6" borderId="10"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5685715"/>
        </a:xfrm>
        <a:prstGeom prst="rect">
          <a:avLst/>
        </a:prstGeom>
      </xdr:spPr>
    </xdr:pic>
    <xdr:clientData/>
  </xdr:twoCellAnchor>
  <xdr:twoCellAnchor editAs="oneCell">
    <xdr:from>
      <xdr:col>12</xdr:col>
      <xdr:colOff>653142</xdr:colOff>
      <xdr:row>0</xdr:row>
      <xdr:rowOff>95251</xdr:rowOff>
    </xdr:from>
    <xdr:to>
      <xdr:col>26</xdr:col>
      <xdr:colOff>324052</xdr:colOff>
      <xdr:row>34</xdr:row>
      <xdr:rowOff>3366</xdr:rowOff>
    </xdr:to>
    <xdr:pic>
      <xdr:nvPicPr>
        <xdr:cNvPr id="3" name="图片 2"/>
        <xdr:cNvPicPr>
          <a:picLocks noChangeAspect="1"/>
        </xdr:cNvPicPr>
      </xdr:nvPicPr>
      <xdr:blipFill>
        <a:blip xmlns:r="http://schemas.openxmlformats.org/officeDocument/2006/relationships" r:embed="rId2"/>
        <a:stretch>
          <a:fillRect/>
        </a:stretch>
      </xdr:blipFill>
      <xdr:spPr>
        <a:xfrm>
          <a:off x="8817428" y="95251"/>
          <a:ext cx="9195910" cy="5922472"/>
        </a:xfrm>
        <a:prstGeom prst="rect">
          <a:avLst/>
        </a:prstGeom>
      </xdr:spPr>
    </xdr:pic>
    <xdr:clientData/>
  </xdr:twoCellAnchor>
  <xdr:twoCellAnchor editAs="oneCell">
    <xdr:from>
      <xdr:col>0</xdr:col>
      <xdr:colOff>27214</xdr:colOff>
      <xdr:row>34</xdr:row>
      <xdr:rowOff>136072</xdr:rowOff>
    </xdr:from>
    <xdr:to>
      <xdr:col>13</xdr:col>
      <xdr:colOff>354000</xdr:colOff>
      <xdr:row>67</xdr:row>
      <xdr:rowOff>79561</xdr:rowOff>
    </xdr:to>
    <xdr:pic>
      <xdr:nvPicPr>
        <xdr:cNvPr id="4" name="图片 3"/>
        <xdr:cNvPicPr>
          <a:picLocks noChangeAspect="1"/>
        </xdr:cNvPicPr>
      </xdr:nvPicPr>
      <xdr:blipFill>
        <a:blip xmlns:r="http://schemas.openxmlformats.org/officeDocument/2006/relationships" r:embed="rId3"/>
        <a:stretch>
          <a:fillRect/>
        </a:stretch>
      </xdr:blipFill>
      <xdr:spPr>
        <a:xfrm>
          <a:off x="27214" y="6150429"/>
          <a:ext cx="9171429" cy="5780953"/>
        </a:xfrm>
        <a:prstGeom prst="rect">
          <a:avLst/>
        </a:prstGeom>
      </xdr:spPr>
    </xdr:pic>
    <xdr:clientData/>
  </xdr:twoCellAnchor>
  <xdr:twoCellAnchor editAs="oneCell">
    <xdr:from>
      <xdr:col>14</xdr:col>
      <xdr:colOff>0</xdr:colOff>
      <xdr:row>35</xdr:row>
      <xdr:rowOff>0</xdr:rowOff>
    </xdr:from>
    <xdr:to>
      <xdr:col>22</xdr:col>
      <xdr:colOff>385715</xdr:colOff>
      <xdr:row>58</xdr:row>
      <xdr:rowOff>140988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6191250"/>
          <a:ext cx="5828572" cy="4209524"/>
        </a:xfrm>
        <a:prstGeom prst="rect">
          <a:avLst/>
        </a:prstGeom>
      </xdr:spPr>
    </xdr:pic>
    <xdr:clientData/>
  </xdr:twoCellAnchor>
  <xdr:twoCellAnchor editAs="oneCell">
    <xdr:from>
      <xdr:col>0</xdr:col>
      <xdr:colOff>0</xdr:colOff>
      <xdr:row>68</xdr:row>
      <xdr:rowOff>0</xdr:rowOff>
    </xdr:from>
    <xdr:to>
      <xdr:col>14</xdr:col>
      <xdr:colOff>522620</xdr:colOff>
      <xdr:row>106</xdr:row>
      <xdr:rowOff>11405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28714"/>
          <a:ext cx="10047620" cy="6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 xml:space="preserve"> 海南省海口市出让国有建设用地使用权及在建建筑物房地产市场价值预评估</v>
      </c>
    </row>
    <row r="3" spans="1:2" s="1594" customFormat="1">
      <c r="A3" s="1592" t="s">
        <v>1217</v>
      </c>
      <c r="B3" s="1593">
        <f>'预评函-封皮'!B40</f>
        <v>0</v>
      </c>
    </row>
    <row r="4" spans="1:2" s="1594" customFormat="1">
      <c r="A4" s="1592" t="s">
        <v>1218</v>
      </c>
      <c r="B4" s="1593" t="str">
        <f ca="1">'预评函-封皮'!B46</f>
        <v>梁津（注册号：1119970066)、王鹏（注册号：1120050019)</v>
      </c>
    </row>
    <row r="5" spans="1:2" s="1588" customFormat="1" ht="16.2" thickBot="1">
      <c r="A5" s="1595" t="s">
        <v>1219</v>
      </c>
      <c r="B5" s="1596" t="str">
        <f>'预评函-封皮'!B49</f>
        <v>康正预评字号</v>
      </c>
    </row>
    <row r="6" spans="1:2" s="1591" customFormat="1" ht="16.2" thickTop="1">
      <c r="A6" s="1589" t="s">
        <v>1220</v>
      </c>
      <c r="B6" s="1590" t="str">
        <f>'预评函-1'!A4</f>
        <v>受贵公司委托，我公司对 海南省海口市出让国有建设用地使用权及在建建筑物房地产抵押价值进行了预评估。</v>
      </c>
    </row>
    <row r="7" spans="1:2" s="1594" customFormat="1">
      <c r="A7" s="1592" t="s">
        <v>1260</v>
      </c>
      <c r="B7" s="1593" t="str">
        <f>'预评函-1'!A7</f>
        <v>估价对象为 海南省海口市出让国有建设用地使用权及在建建筑物房地产，为所有。根据《国有土地使用证》[]，估价对象（分摊）出让国有建设用地使用权面积为3794.16平方米，建筑面积为138723.22平方米。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2019年1月23日（评估专业人员实地查勘之日）</v>
      </c>
    </row>
    <row r="13" spans="1:2" s="1594" customFormat="1">
      <c r="A13" s="1592" t="s">
        <v>1223</v>
      </c>
      <c r="B13" s="1593"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6.2" thickBot="1">
      <c r="A18" s="1595" t="s">
        <v>1228</v>
      </c>
      <c r="B18" s="1596" t="str">
        <f>'预评函-1'!A24</f>
        <v>本次评估采用的主估价方法为成本法和收益法。</v>
      </c>
    </row>
    <row r="19" spans="1:2" s="1591" customFormat="1" ht="16.2"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180408</v>
      </c>
    </row>
    <row r="21" spans="1:2" s="1594" customFormat="1">
      <c r="A21" s="1592" t="s">
        <v>1231</v>
      </c>
      <c r="B21" s="1593">
        <f ca="1">'预评函-2'!D7</f>
        <v>13005</v>
      </c>
    </row>
    <row r="22" spans="1:2" s="1594" customFormat="1">
      <c r="A22" s="1592" t="s">
        <v>1232</v>
      </c>
      <c r="B22" s="1593" t="str">
        <f ca="1">'预评函-2'!D6</f>
        <v>壹拾捌亿零肆佰零捌万元整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180408</v>
      </c>
    </row>
    <row r="31" spans="1:2" s="1594" customFormat="1">
      <c r="A31" s="1592" t="s">
        <v>1270</v>
      </c>
      <c r="B31" s="1593">
        <f ca="1">'预评函-2'!D15</f>
        <v>13005</v>
      </c>
    </row>
    <row r="32" spans="1:2" s="1594" customFormat="1">
      <c r="A32" s="1592" t="s">
        <v>1237</v>
      </c>
      <c r="B32" s="1593" t="str">
        <f ca="1">'预评函-2'!D14</f>
        <v>壹拾捌亿零肆佰零捌万元整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 xml:space="preserve"> 海南省海口市出让国有建设用地使用权及在建建筑物房地产</v>
      </c>
    </row>
    <row r="42" spans="1:2" s="1594" customFormat="1" ht="31.2">
      <c r="A42" s="1592" t="s">
        <v>1284</v>
      </c>
      <c r="B42" s="1593" t="str">
        <f>'预评函-3'!B2</f>
        <v>建筑面积</v>
      </c>
    </row>
    <row r="43" spans="1:2" s="1594" customFormat="1">
      <c r="A43" s="1592" t="s">
        <v>1285</v>
      </c>
      <c r="B43" s="1593">
        <f>'预评函-3'!B4</f>
        <v>138723.22</v>
      </c>
    </row>
    <row r="44" spans="1:2" s="1594" customFormat="1" ht="31.2">
      <c r="A44" s="1592" t="s">
        <v>1269</v>
      </c>
      <c r="B44" s="1593" t="str">
        <f>'预评函-3'!C2</f>
        <v>(分摊)土地面积</v>
      </c>
    </row>
    <row r="45" spans="1:2" s="1594" customFormat="1">
      <c r="A45" s="1592" t="s">
        <v>1241</v>
      </c>
      <c r="B45" s="1593">
        <f>'预评函-3'!C4</f>
        <v>3794.16</v>
      </c>
    </row>
    <row r="46" spans="1:2" s="1594" customFormat="1">
      <c r="A46" s="1592" t="s">
        <v>1267</v>
      </c>
      <c r="B46" s="1593" t="str">
        <f>'预评函-3'!D2</f>
        <v>出让国有建设用地使用权价值</v>
      </c>
    </row>
    <row r="47" spans="1:2" s="1594" customFormat="1">
      <c r="A47" s="1592" t="s">
        <v>1242</v>
      </c>
      <c r="B47" s="1593">
        <f ca="1">'预评函-3'!D4</f>
        <v>48349</v>
      </c>
    </row>
    <row r="48" spans="1:2" s="1594" customFormat="1">
      <c r="A48" s="1592" t="s">
        <v>1243</v>
      </c>
      <c r="B48" s="1593">
        <f ca="1">'预评函-3'!E4</f>
        <v>3485</v>
      </c>
    </row>
    <row r="49" spans="1:2" s="1594" customFormat="1">
      <c r="A49" s="1592" t="s">
        <v>1244</v>
      </c>
      <c r="B49" s="1593" t="str">
        <f ca="1">'预评函-3'!D5</f>
        <v>肆亿捌仟叁佰肆拾玖万元整</v>
      </c>
    </row>
    <row r="50" spans="1:2" s="1594" customFormat="1">
      <c r="A50" s="1592" t="s">
        <v>1268</v>
      </c>
      <c r="B50" s="1593" t="str">
        <f>'预评函-3'!F2</f>
        <v>在建建筑物价值</v>
      </c>
    </row>
    <row r="51" spans="1:2" s="1594" customFormat="1">
      <c r="A51" s="1592" t="s">
        <v>1245</v>
      </c>
      <c r="B51" s="1593">
        <f ca="1">'预评函-3'!F4</f>
        <v>132059</v>
      </c>
    </row>
    <row r="52" spans="1:2" s="1594" customFormat="1">
      <c r="A52" s="1592" t="s">
        <v>1246</v>
      </c>
      <c r="B52" s="1593">
        <f ca="1">'预评函-3'!G4</f>
        <v>9520</v>
      </c>
    </row>
    <row r="53" spans="1:2" s="1594" customFormat="1">
      <c r="A53" s="1592" t="s">
        <v>1274</v>
      </c>
      <c r="B53" s="1593" t="str">
        <f ca="1">'预评函-3'!F5</f>
        <v>壹拾叁亿贰仟零伍拾玖万元整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6.2" thickBot="1">
      <c r="A57" s="1595" t="s">
        <v>1293</v>
      </c>
      <c r="B57" s="1596" t="str">
        <f>'预评函-3'!A6</f>
        <v/>
      </c>
    </row>
    <row r="58" spans="1:2" s="1591" customFormat="1" ht="16.2"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梁津</v>
      </c>
    </row>
    <row r="71" spans="1:2">
      <c r="A71" s="1592" t="s">
        <v>1257</v>
      </c>
      <c r="B71" s="1593">
        <f ca="1">'预评函-4'!B4</f>
        <v>1119970066</v>
      </c>
    </row>
    <row r="72" spans="1:2">
      <c r="A72" s="1592" t="s">
        <v>1258</v>
      </c>
      <c r="B72" s="1601" t="str">
        <f>'预评函-4'!A5</f>
        <v>王鹏</v>
      </c>
    </row>
    <row r="73" spans="1:2" s="1588" customFormat="1" ht="16.2" thickBot="1">
      <c r="A73" s="1595" t="s">
        <v>1259</v>
      </c>
      <c r="B73" s="1596">
        <f ca="1">'预评函-4'!B5</f>
        <v>1120050019</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4.4"/>
  <cols>
    <col min="1" max="1" width="13.44140625" style="2025" customWidth="1"/>
    <col min="2" max="2" width="23.21875" style="1976" customWidth="1"/>
    <col min="3" max="3" width="13" style="2020" customWidth="1"/>
    <col min="4" max="4" width="5.77734375" style="2017" customWidth="1"/>
    <col min="5" max="5" width="7.109375" style="2017" customWidth="1"/>
    <col min="6" max="6" width="10.6640625" style="2017" customWidth="1"/>
    <col min="7" max="7" width="7.44140625" style="2017" customWidth="1"/>
    <col min="8" max="8" width="9" style="2020" customWidth="1"/>
    <col min="9" max="9" width="11.6640625" style="2020" customWidth="1"/>
    <col min="10" max="10" width="9" style="2020" customWidth="1"/>
    <col min="11" max="19" width="9" style="2017" customWidth="1"/>
    <col min="20" max="23" width="9" style="2020" customWidth="1"/>
    <col min="24" max="24" width="21.109375" style="1976" customWidth="1"/>
    <col min="25" max="16384" width="9" style="1976"/>
  </cols>
  <sheetData>
    <row r="1" spans="1:23" s="2014" customFormat="1" ht="28.8">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3379</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 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0"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3" t="s">
        <v>861</v>
      </c>
      <c r="C54" s="2020" t="s">
        <v>1277</v>
      </c>
    </row>
    <row r="55" spans="1:4">
      <c r="A55" s="3010"/>
      <c r="B55" s="2023" t="s">
        <v>862</v>
      </c>
      <c r="C55" s="2020" t="s">
        <v>1278</v>
      </c>
    </row>
    <row r="56" spans="1:4">
      <c r="A56" s="3010"/>
      <c r="B56" s="2023" t="s">
        <v>863</v>
      </c>
      <c r="C56" s="2020" t="s">
        <v>1282</v>
      </c>
    </row>
    <row r="57" spans="1:4">
      <c r="A57" s="3010"/>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3" customWidth="1"/>
    <col min="2" max="2" width="12.88671875" style="2033" customWidth="1"/>
    <col min="3" max="3" width="11.44140625" style="2033" customWidth="1"/>
    <col min="4" max="4" width="13.21875" style="2033" customWidth="1"/>
    <col min="5" max="6" width="10" style="2033" customWidth="1"/>
    <col min="7" max="7" width="10.77734375" style="2033" customWidth="1"/>
    <col min="8" max="8" width="10" style="2033" customWidth="1"/>
    <col min="9" max="9" width="11.10937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11" t="str">
        <f>IF(B10="北京市","北京市",C10)&amp;F10&amp;IF(结果表!G1="在建","出让国有建设用地使用权及在建建筑物",IF(结果表!G1="土地","出让国有建设用地使用权",))&amp;B9&amp;"预评估"</f>
        <v xml:space="preserve"> 海南省海口市出让国有建设用地使用权及在建建筑物房地产市场价值预评估</v>
      </c>
      <c r="C1" s="3012"/>
      <c r="D1" s="3012"/>
      <c r="E1" s="3012"/>
      <c r="F1" s="3012"/>
      <c r="G1" s="3012"/>
      <c r="H1" s="3012"/>
      <c r="I1" s="301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xml:space="preserve"> 海南省海口市出让国有建设用地使用权及在建建筑物房地产抵押价值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 xml:space="preserve"> 海南省海口市出让国有建设用地使用权及在建建筑物房地产</v>
      </c>
    </row>
    <row r="3" spans="1:19" ht="18" customHeight="1">
      <c r="A3" s="2036" t="s">
        <v>1773</v>
      </c>
      <c r="B3" s="2037">
        <v>43488</v>
      </c>
      <c r="C3" s="2038" t="s">
        <v>1774</v>
      </c>
      <c r="D3" s="2037">
        <f>B3</f>
        <v>43488</v>
      </c>
      <c r="E3" s="2027"/>
      <c r="F3" s="2027"/>
      <c r="G3" s="2027"/>
      <c r="H3" s="2027"/>
      <c r="I3" s="2027"/>
      <c r="J3" s="2027"/>
      <c r="K3" s="2028"/>
      <c r="L3" s="2029"/>
      <c r="M3" s="2029"/>
      <c r="N3" s="2030"/>
      <c r="O3" s="2031"/>
      <c r="P3" s="2030"/>
      <c r="Q3" s="2030"/>
      <c r="R3" s="2030"/>
      <c r="S3" s="2032"/>
    </row>
    <row r="4" spans="1:19" ht="18" customHeight="1" thickBot="1">
      <c r="A4" s="2039" t="s">
        <v>1775</v>
      </c>
      <c r="B4" s="2040" t="s">
        <v>3423</v>
      </c>
      <c r="C4" s="1040">
        <f ca="1">SUMIF(注册房地产估价师,B4,估价师及机构信息!B3:B24)</f>
        <v>1119970066</v>
      </c>
      <c r="D4" s="2040" t="s">
        <v>3424</v>
      </c>
      <c r="E4" s="1041">
        <f ca="1">SUMIF(注册房地产估价师,D4,估价师及机构信息!B3:B24)</f>
        <v>1120050019</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梁津（注册号：1119970066)、王鹏（注册号：1120050019)</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3057</v>
      </c>
      <c r="C8" s="2057"/>
      <c r="D8" s="3014" t="s">
        <v>1780</v>
      </c>
      <c r="E8" s="2058"/>
      <c r="F8" s="2059"/>
      <c r="G8" s="2027"/>
      <c r="H8" s="2027"/>
      <c r="I8" s="2027"/>
      <c r="J8" s="2043"/>
      <c r="K8" s="2044"/>
      <c r="L8" s="2029"/>
      <c r="M8" s="2029"/>
      <c r="N8" s="2030"/>
      <c r="O8" s="2031"/>
      <c r="P8" s="2030"/>
      <c r="Q8" s="2030"/>
      <c r="R8" s="2030"/>
    </row>
    <row r="9" spans="1:19" ht="18" customHeight="1" thickBot="1">
      <c r="A9" s="2041" t="s">
        <v>1781</v>
      </c>
      <c r="B9" s="2060" t="s">
        <v>3058</v>
      </c>
      <c r="C9" s="2061"/>
      <c r="D9" s="3015"/>
      <c r="E9" s="2060"/>
      <c r="F9" s="2062"/>
      <c r="G9" s="2063"/>
      <c r="H9" s="2063"/>
      <c r="I9" s="2063"/>
      <c r="J9" s="2043"/>
      <c r="K9" s="2055"/>
      <c r="L9" s="2029"/>
      <c r="M9" s="2029"/>
      <c r="N9" s="2030"/>
      <c r="O9" s="2031"/>
      <c r="P9" s="2030"/>
      <c r="Q9" s="2030"/>
      <c r="R9" s="2030"/>
    </row>
    <row r="10" spans="1:19" ht="18" customHeight="1" thickTop="1">
      <c r="A10" s="2064" t="s">
        <v>1782</v>
      </c>
      <c r="B10" s="2065" t="s">
        <v>3055</v>
      </c>
      <c r="C10" s="2066" t="s">
        <v>3056</v>
      </c>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3054</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56868</v>
      </c>
      <c r="F13" s="2081">
        <f>E13</f>
        <v>56868</v>
      </c>
      <c r="G13" s="2081"/>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40</v>
      </c>
      <c r="G14" s="1053"/>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36.65</v>
      </c>
      <c r="F15" s="1052">
        <f>IF(B12="出让",IF(F13="","",ROUNDDOWN(MIN((F13-$D$3)/365,F14),2)),F14)</f>
        <v>36.65</v>
      </c>
      <c r="G15" s="1052" t="str">
        <f>IF(B12="出让",IF(G13="","",ROUNDDOWN(MIN((G13-$D$3)/365,G14),2)),G14)</f>
        <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21"/>
      <c r="C16" s="3022"/>
      <c r="D16" s="3023"/>
      <c r="E16" s="2087" t="s">
        <v>1797</v>
      </c>
      <c r="F16" s="3024"/>
      <c r="G16" s="3025"/>
      <c r="H16" s="3025"/>
      <c r="I16" s="3026"/>
      <c r="J16" s="2030"/>
      <c r="K16" s="2084"/>
      <c r="L16" s="2085"/>
      <c r="M16" s="2085"/>
      <c r="N16" s="2086"/>
      <c r="O16" s="2085"/>
      <c r="P16" s="2086"/>
      <c r="Q16" s="2030"/>
      <c r="R16" s="2030"/>
    </row>
    <row r="17" spans="1:22" ht="18" customHeight="1">
      <c r="A17" s="2088" t="s">
        <v>1798</v>
      </c>
      <c r="B17" s="2036" t="s">
        <v>1799</v>
      </c>
      <c r="C17" s="1057">
        <f>'数据-汇总表'!E3</f>
        <v>138723.22</v>
      </c>
      <c r="D17" s="2089" t="s">
        <v>1800</v>
      </c>
      <c r="E17" s="3027" t="s">
        <v>1801</v>
      </c>
      <c r="F17" s="3028"/>
      <c r="G17" s="3028"/>
      <c r="H17" s="3028"/>
      <c r="I17" s="3029"/>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6">
        <f>'数据-汇总表'!D3</f>
        <v>3794.16</v>
      </c>
      <c r="D18" s="2092" t="s">
        <v>1800</v>
      </c>
      <c r="E18" s="3030" t="s">
        <v>1804</v>
      </c>
      <c r="F18" s="3031"/>
      <c r="G18" s="3031"/>
      <c r="H18" s="3031"/>
      <c r="I18" s="3032"/>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17" t="s">
        <v>1809</v>
      </c>
      <c r="C20" s="3018"/>
      <c r="D20" s="3019" t="s">
        <v>1810</v>
      </c>
      <c r="E20" s="3020"/>
      <c r="F20" s="2099" t="s">
        <v>1811</v>
      </c>
      <c r="G20" s="2043"/>
      <c r="H20" s="2043"/>
      <c r="I20" s="2043"/>
      <c r="J20" s="2043"/>
      <c r="K20" s="301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4"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4"/>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4"/>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5"/>
      <c r="B30" s="2036" t="s">
        <v>1828</v>
      </c>
      <c r="C30" s="3036"/>
      <c r="D30" s="3037"/>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8"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9"/>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9"/>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3" t="s">
        <v>1838</v>
      </c>
      <c r="T34" s="2136" t="str">
        <f>NUMBERSTRING(7-K34,1)&amp;"通"</f>
        <v>七通</v>
      </c>
      <c r="U34" s="2030"/>
      <c r="V34" s="2030"/>
    </row>
    <row r="35" spans="1:22" ht="18" customHeight="1">
      <c r="A35" s="2137"/>
      <c r="B35" s="3040" t="s">
        <v>1839</v>
      </c>
      <c r="C35" s="3040"/>
      <c r="D35" s="3040"/>
      <c r="E35" s="3040"/>
      <c r="F35" s="2138" t="str">
        <f>C10</f>
        <v xml:space="preserve"> 海南省海口市</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3794.16</v>
      </c>
      <c r="B3" s="14">
        <f>IF(C3="否",G5-AT5,G5)</f>
        <v>138723.22</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4"/>
      <c r="C5" s="1804"/>
      <c r="D5" s="1807"/>
      <c r="E5" s="16" t="s">
        <v>1</v>
      </c>
      <c r="F5" s="16">
        <f>SUM(F13:F587)</f>
        <v>0</v>
      </c>
      <c r="G5" s="16">
        <f>SUM(G13:G587)</f>
        <v>138723.22</v>
      </c>
      <c r="H5" s="16">
        <f t="shared" ref="H5:AT5" si="0">SUM(H13:H656)</f>
        <v>95571.22</v>
      </c>
      <c r="I5" s="16">
        <f t="shared" si="0"/>
        <v>66771.73</v>
      </c>
      <c r="J5" s="16">
        <f t="shared" si="0"/>
        <v>0</v>
      </c>
      <c r="K5" s="16">
        <f t="shared" si="0"/>
        <v>28799.49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43152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43152</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138723.22</v>
      </c>
      <c r="BA5" s="18">
        <f t="shared" si="1"/>
        <v>95571.22</v>
      </c>
      <c r="BB5" s="18">
        <f t="shared" si="1"/>
        <v>66771.73</v>
      </c>
      <c r="BC5" s="18">
        <f t="shared" si="1"/>
        <v>28799.49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43152</v>
      </c>
      <c r="BM5" s="18">
        <f t="shared" si="1"/>
        <v>0</v>
      </c>
      <c r="BN5" s="18">
        <f t="shared" si="1"/>
        <v>0</v>
      </c>
      <c r="BO5" s="18">
        <f t="shared" si="1"/>
        <v>0</v>
      </c>
      <c r="BP5" s="18">
        <f t="shared" si="1"/>
        <v>0</v>
      </c>
      <c r="BQ5" s="18">
        <f t="shared" si="1"/>
        <v>0</v>
      </c>
      <c r="BR5" s="18">
        <f t="shared" si="1"/>
        <v>43152</v>
      </c>
      <c r="BS5" s="18">
        <f t="shared" si="1"/>
        <v>0</v>
      </c>
      <c r="BT5" s="19">
        <f t="shared" si="1"/>
        <v>0</v>
      </c>
    </row>
    <row r="6" spans="1:72" s="2179" customFormat="1" ht="13.2">
      <c r="A6" s="15" t="s">
        <v>1876</v>
      </c>
      <c r="B6" s="2176"/>
      <c r="C6" s="2176"/>
      <c r="D6" s="2177"/>
      <c r="E6" s="16">
        <f>H6+AC6+AT6</f>
        <v>3794.16</v>
      </c>
      <c r="F6" s="16" t="s">
        <v>1</v>
      </c>
      <c r="G6" s="16" t="s">
        <v>2</v>
      </c>
      <c r="H6" s="20">
        <f>SUMIF(I$12:AB$12,"总值",I6:AB6)</f>
        <v>2613.9299999999998</v>
      </c>
      <c r="I6" s="16">
        <f t="shared" ref="I6:AB6" si="2">ROUND($A$3*I5/$B$3,2)</f>
        <v>1826.25</v>
      </c>
      <c r="J6" s="16">
        <f t="shared" si="2"/>
        <v>0</v>
      </c>
      <c r="K6" s="16">
        <f t="shared" si="2"/>
        <v>787.68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1180.23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1180.23</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3794.16</v>
      </c>
      <c r="AZ6" s="16" t="s">
        <v>3</v>
      </c>
      <c r="BA6" s="16">
        <f>ROUND($AY$6*BA5/$AZ$5,2)</f>
        <v>2613.9299999999998</v>
      </c>
      <c r="BB6" s="16">
        <f>ROUND($AY$6*BB5/$AZ$5,2)</f>
        <v>1826.25</v>
      </c>
      <c r="BC6" s="16">
        <f t="shared" ref="BC6:BH6" si="4">ROUND($AY$6*BC5/$AZ$5,2)</f>
        <v>787.68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1180.23</v>
      </c>
      <c r="BM6" s="16">
        <f t="shared" si="5"/>
        <v>0</v>
      </c>
      <c r="BN6" s="16">
        <f t="shared" si="5"/>
        <v>0</v>
      </c>
      <c r="BO6" s="16">
        <f t="shared" si="5"/>
        <v>0</v>
      </c>
      <c r="BP6" s="16">
        <f t="shared" si="5"/>
        <v>0</v>
      </c>
      <c r="BQ6" s="16">
        <f t="shared" si="5"/>
        <v>0</v>
      </c>
      <c r="BR6" s="16">
        <f t="shared" si="5"/>
        <v>1180.23</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3.2">
      <c r="A9" s="2184"/>
      <c r="B9" s="2184"/>
      <c r="C9" s="2184"/>
      <c r="D9" s="2184"/>
      <c r="E9" s="2184"/>
      <c r="F9" s="2184"/>
      <c r="G9" s="1295"/>
      <c r="H9" s="2192" t="s">
        <v>1895</v>
      </c>
      <c r="I9" s="2193" t="s">
        <v>3059</v>
      </c>
      <c r="J9" s="984"/>
      <c r="K9" s="2193" t="s">
        <v>3059</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3.2">
      <c r="A10" s="2184"/>
      <c r="B10" s="2184"/>
      <c r="C10" s="2184"/>
      <c r="D10" s="2184"/>
      <c r="E10" s="2184"/>
      <c r="F10" s="2184"/>
      <c r="G10" s="1295"/>
      <c r="H10" s="28"/>
      <c r="I10" s="2193" t="s">
        <v>1373</v>
      </c>
      <c r="J10" s="984"/>
      <c r="K10" s="2199" t="s">
        <v>27</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3.2">
      <c r="A11" s="2184"/>
      <c r="B11" s="2184"/>
      <c r="C11" s="2184"/>
      <c r="D11" s="2184"/>
      <c r="E11" s="2184"/>
      <c r="F11" s="2184"/>
      <c r="G11" s="1295"/>
      <c r="H11" s="2201"/>
      <c r="I11" s="2204" t="s">
        <v>3060</v>
      </c>
      <c r="J11" s="2205"/>
      <c r="K11" s="2204" t="s">
        <v>3061</v>
      </c>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商业</v>
      </c>
      <c r="BC11" s="2189" t="str">
        <f>K10</f>
        <v>办公</v>
      </c>
      <c r="BD11" s="2189">
        <f>M10</f>
        <v>0</v>
      </c>
      <c r="BE11" s="2189">
        <f>O10</f>
        <v>0</v>
      </c>
      <c r="BF11" s="2189">
        <f>Q10</f>
        <v>0</v>
      </c>
      <c r="BG11" s="2189">
        <f>S10</f>
        <v>0</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酒店</v>
      </c>
      <c r="BC12" s="2214" t="str">
        <f>K11</f>
        <v>办公楼</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3064</v>
      </c>
      <c r="E13" s="16">
        <f>IF($C$3="是",ROUND($A$3*G13/$B$3,2),ROUND($A$3*(G13-AT13)/$B$3,2))</f>
        <v>3794.16</v>
      </c>
      <c r="F13" s="32"/>
      <c r="G13" s="33">
        <f>H13+AC13+AT13</f>
        <v>138723.22</v>
      </c>
      <c r="H13" s="20">
        <f>SUMIF(I$12:AB$12,"总值",I13:AB13)</f>
        <v>95571.22</v>
      </c>
      <c r="I13" s="2216">
        <v>66771.73</v>
      </c>
      <c r="J13" s="2216"/>
      <c r="K13" s="2216">
        <v>28799.49</v>
      </c>
      <c r="L13" s="2216"/>
      <c r="M13" s="2216"/>
      <c r="N13" s="2216"/>
      <c r="O13" s="2216"/>
      <c r="P13" s="2216"/>
      <c r="Q13" s="2216"/>
      <c r="R13" s="2216"/>
      <c r="S13" s="2216"/>
      <c r="T13" s="2216"/>
      <c r="U13" s="2216"/>
      <c r="V13" s="2216"/>
      <c r="W13" s="2216"/>
      <c r="X13" s="2216"/>
      <c r="Y13" s="2216"/>
      <c r="Z13" s="2216"/>
      <c r="AA13" s="2216"/>
      <c r="AB13" s="2216"/>
      <c r="AC13" s="16">
        <f>SUMIF(AD$12:AS$12,"总值",AD13:AS13)</f>
        <v>43152</v>
      </c>
      <c r="AD13" s="2217"/>
      <c r="AE13" s="2217"/>
      <c r="AF13" s="2217"/>
      <c r="AG13" s="2217"/>
      <c r="AH13" s="2217"/>
      <c r="AI13" s="2217"/>
      <c r="AJ13" s="2217"/>
      <c r="AK13" s="2217"/>
      <c r="AL13" s="2217"/>
      <c r="AM13" s="2217"/>
      <c r="AN13" s="2217">
        <v>43152</v>
      </c>
      <c r="AO13" s="2217"/>
      <c r="AP13" s="2217"/>
      <c r="AQ13" s="2217"/>
      <c r="AR13" s="2217"/>
      <c r="AS13" s="2217"/>
      <c r="AT13" s="2218"/>
      <c r="AU13" s="2219"/>
      <c r="AV13" s="11">
        <f t="shared" ref="AV13:AX17" si="6">A13</f>
        <v>0</v>
      </c>
      <c r="AW13" s="11">
        <f t="shared" si="6"/>
        <v>0</v>
      </c>
      <c r="AX13" s="11">
        <f t="shared" si="6"/>
        <v>0</v>
      </c>
      <c r="AY13" s="1807">
        <f>ROUND($AY$6*AZ13/$AZ$5,2)</f>
        <v>3794.16</v>
      </c>
      <c r="AZ13" s="16">
        <f>BA13+BL13</f>
        <v>138723.22</v>
      </c>
      <c r="BA13" s="16">
        <f>SUM(BB13:BK13)</f>
        <v>95571.22</v>
      </c>
      <c r="BB13" s="16">
        <f>IF($D13="是",I13-J13,0)</f>
        <v>66771.73</v>
      </c>
      <c r="BC13" s="16">
        <f>IF($D13="是",K13-L13,0)</f>
        <v>28799.49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43152</v>
      </c>
      <c r="BM13" s="16">
        <f>IF($D13="是",AD13-AE13,0)</f>
        <v>0</v>
      </c>
      <c r="BN13" s="16">
        <f>IF($D13="是",AF13-AG13,0)</f>
        <v>0</v>
      </c>
      <c r="BO13" s="16">
        <f>IF($D13="是",AH13-AI13,0)</f>
        <v>0</v>
      </c>
      <c r="BP13" s="16">
        <f>IF($D13="是",AJ13-AK13,0)</f>
        <v>0</v>
      </c>
      <c r="BQ13" s="16">
        <f>IF($D13="是",AL13-AM13,0)</f>
        <v>0</v>
      </c>
      <c r="BR13" s="16">
        <f>IF($D13="是",AN13-AO13,0)</f>
        <v>43152</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46.8">
      <c r="A3" s="3041"/>
      <c r="B3" s="3041"/>
      <c r="C3" s="3041"/>
      <c r="D3" s="3042"/>
      <c r="E3" s="304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4"/>
      <c r="C1" s="1394"/>
      <c r="D1" s="1394"/>
      <c r="E1" s="1394"/>
      <c r="F1" s="1394"/>
      <c r="G1" s="1394"/>
      <c r="H1" s="1394"/>
      <c r="I1" s="1394"/>
      <c r="J1" s="1394"/>
      <c r="K1" s="1394"/>
      <c r="L1" s="1394"/>
      <c r="M1" s="1394"/>
      <c r="N1" s="1394"/>
      <c r="O1" s="1394"/>
      <c r="P1" s="1394"/>
    </row>
    <row r="2" spans="1:16" ht="14.4">
      <c r="A2" s="3052" t="s">
        <v>1935</v>
      </c>
      <c r="B2" s="3052"/>
      <c r="C2" s="3052"/>
      <c r="D2" s="970" t="s">
        <v>1911</v>
      </c>
      <c r="E2" s="2229" t="s">
        <v>1912</v>
      </c>
      <c r="F2" s="1394"/>
      <c r="G2" s="2230"/>
      <c r="H2" s="2231"/>
      <c r="I2" s="2232" t="s">
        <v>1936</v>
      </c>
      <c r="J2" s="1394"/>
      <c r="K2" s="1394"/>
      <c r="L2" s="1394"/>
      <c r="M2" s="1394"/>
      <c r="N2" s="1429"/>
      <c r="O2" s="1394"/>
      <c r="P2" s="1394"/>
    </row>
    <row r="3" spans="1:16" ht="15" thickBot="1">
      <c r="A3" s="3053" t="s">
        <v>1909</v>
      </c>
      <c r="B3" s="3053"/>
      <c r="C3" s="3053"/>
      <c r="D3" s="46">
        <f>'数据-基础表'!AY6</f>
        <v>3794.16</v>
      </c>
      <c r="E3" s="46">
        <f>'数据-基础表'!AZ5</f>
        <v>138723.22</v>
      </c>
      <c r="F3" s="1394"/>
      <c r="G3" s="1401"/>
      <c r="H3" s="1250" t="s">
        <v>1910</v>
      </c>
      <c r="I3" s="55">
        <f>ROUND('数据-基础表'!B3/'数据-基础表'!A3,2)</f>
        <v>36.56</v>
      </c>
      <c r="J3" s="1394"/>
      <c r="K3" s="1394"/>
      <c r="L3" s="1394"/>
      <c r="M3" s="1394"/>
      <c r="N3" s="1429"/>
      <c r="O3" s="1394"/>
      <c r="P3" s="1394"/>
    </row>
    <row r="4" spans="1:16" ht="14.4">
      <c r="A4" s="3054"/>
      <c r="B4" s="3055"/>
      <c r="C4" s="3056"/>
      <c r="D4" s="2233" t="s">
        <v>1911</v>
      </c>
      <c r="E4" s="2234" t="s">
        <v>1912</v>
      </c>
      <c r="F4" s="1394"/>
      <c r="G4" s="2235" t="s">
        <v>1937</v>
      </c>
      <c r="H4" s="1250" t="s">
        <v>1917</v>
      </c>
      <c r="I4" s="55">
        <f>ROUND(SUMIF('数据-基础表'!I9:AS9,"地上",'数据-基础表'!I5:AS5)/'数据-基础表'!A3,2)</f>
        <v>25.19</v>
      </c>
      <c r="J4" s="1394"/>
      <c r="K4" s="1394"/>
      <c r="L4" s="1394"/>
      <c r="M4" s="1394"/>
      <c r="N4" s="1429"/>
      <c r="O4" s="1394"/>
      <c r="P4" s="1394"/>
    </row>
    <row r="5" spans="1:16" ht="14.4">
      <c r="A5" s="47" t="s">
        <v>1913</v>
      </c>
      <c r="B5" s="3057" t="s">
        <v>1914</v>
      </c>
      <c r="C5" s="3057"/>
      <c r="D5" s="48">
        <f>ROUND($D$3*E5/$E$3,2)</f>
        <v>0</v>
      </c>
      <c r="E5" s="49">
        <f>SUMIF('数据-基础表'!$11:$11,"住宅",'数据-基础表'!$5:$5)</f>
        <v>0</v>
      </c>
      <c r="F5" s="1394"/>
      <c r="G5" s="1401"/>
      <c r="H5" s="1250" t="s">
        <v>1910</v>
      </c>
      <c r="I5" s="55">
        <f>ROUND(E31/D31,2)</f>
        <v>36.56</v>
      </c>
      <c r="J5" s="1394"/>
      <c r="K5" s="1394"/>
      <c r="L5" s="1394"/>
      <c r="M5" s="1394"/>
      <c r="N5" s="1394"/>
      <c r="O5" s="1394"/>
      <c r="P5" s="1394"/>
    </row>
    <row r="6" spans="1:16" ht="15" thickBot="1">
      <c r="A6" s="2236"/>
      <c r="B6" s="3057" t="s">
        <v>1915</v>
      </c>
      <c r="C6" s="3057"/>
      <c r="D6" s="48">
        <f>ROUND($D$3*E6/$E$3,2)</f>
        <v>3794.16</v>
      </c>
      <c r="E6" s="49">
        <f>E3-E5</f>
        <v>138723.22</v>
      </c>
      <c r="F6" s="1394"/>
      <c r="G6" s="2237" t="s">
        <v>1916</v>
      </c>
      <c r="H6" s="1401" t="s">
        <v>1917</v>
      </c>
      <c r="I6" s="942">
        <f>ROUND(F31/D31,2)</f>
        <v>25.19</v>
      </c>
      <c r="J6" s="1394"/>
      <c r="K6" s="1394"/>
      <c r="L6" s="1394"/>
      <c r="M6" s="1394"/>
      <c r="N6" s="1394"/>
      <c r="O6" s="1394"/>
      <c r="P6" s="1394"/>
    </row>
    <row r="7" spans="1:16" ht="14.4">
      <c r="A7" s="3049"/>
      <c r="B7" s="3050"/>
      <c r="C7" s="3051"/>
      <c r="D7" s="2233" t="s">
        <v>1911</v>
      </c>
      <c r="E7" s="2238" t="s">
        <v>1918</v>
      </c>
      <c r="F7" s="1394"/>
      <c r="G7" s="2230" t="s">
        <v>1919</v>
      </c>
      <c r="H7" s="64"/>
      <c r="I7" s="420"/>
      <c r="J7" s="1394"/>
      <c r="K7" s="1394"/>
      <c r="L7" s="1394"/>
      <c r="M7" s="1394"/>
      <c r="N7" s="1394"/>
      <c r="O7" s="1394"/>
      <c r="P7" s="1394"/>
    </row>
    <row r="8" spans="1:16" ht="14.4">
      <c r="A8" s="47" t="s">
        <v>1920</v>
      </c>
      <c r="B8" s="50" t="s">
        <v>1921</v>
      </c>
      <c r="C8" s="48" t="s">
        <v>1922</v>
      </c>
      <c r="D8" s="48">
        <f t="shared" ref="D8:D15" si="0">ROUND($D$3*E8/$E$3,2)</f>
        <v>2613.9299999999998</v>
      </c>
      <c r="E8" s="51">
        <f>SUMIF('数据-基础表'!BB10:BK10,"地上",'数据-基础表'!BB5:BK5)</f>
        <v>95571.22</v>
      </c>
      <c r="F8" s="1394"/>
      <c r="G8" s="2239"/>
      <c r="H8" s="2239"/>
      <c r="I8" s="1394"/>
      <c r="J8" s="1394"/>
      <c r="K8" s="1394"/>
      <c r="L8" s="1394"/>
      <c r="M8" s="1394"/>
      <c r="N8" s="1394"/>
      <c r="O8" s="1394"/>
      <c r="P8" s="1394"/>
    </row>
    <row r="9" spans="1:16" ht="14.4">
      <c r="A9" s="2240"/>
      <c r="B9" s="2241"/>
      <c r="C9" s="48" t="s">
        <v>1923</v>
      </c>
      <c r="D9" s="48">
        <f t="shared" si="0"/>
        <v>0</v>
      </c>
      <c r="E9" s="52">
        <v>0</v>
      </c>
      <c r="F9" s="1394"/>
      <c r="G9" s="2239"/>
      <c r="H9" s="2239"/>
      <c r="I9" s="1394"/>
      <c r="J9" s="1394"/>
      <c r="K9" s="1394"/>
      <c r="L9" s="1394"/>
      <c r="M9" s="1394"/>
      <c r="N9" s="1394"/>
      <c r="O9" s="1394"/>
      <c r="P9" s="1394"/>
    </row>
    <row r="10" spans="1:16" ht="14.4">
      <c r="A10" s="2240"/>
      <c r="B10" s="2241"/>
      <c r="C10" s="48" t="s">
        <v>1932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1927</v>
      </c>
      <c r="D16" s="50">
        <f>SUM(D8:D15)</f>
        <v>2613.9299999999998</v>
      </c>
      <c r="E16" s="53">
        <f>SUM(E8:E15)</f>
        <v>95571.22</v>
      </c>
      <c r="F16" s="1394"/>
      <c r="G16" s="2239"/>
      <c r="H16" s="2242" t="s">
        <v>1939</v>
      </c>
      <c r="I16" s="2243"/>
      <c r="J16" s="1394"/>
      <c r="K16" s="3046" t="s">
        <v>1939</v>
      </c>
      <c r="L16" s="3047"/>
      <c r="M16" s="3047"/>
      <c r="N16" s="3047"/>
      <c r="O16" s="3047"/>
      <c r="P16" s="3048"/>
    </row>
    <row r="17" spans="1:19" ht="14.4">
      <c r="A17" s="2244" t="s">
        <v>1940</v>
      </c>
      <c r="B17" s="2245" t="s">
        <v>1941</v>
      </c>
      <c r="C17" s="2246" t="s">
        <v>1942</v>
      </c>
      <c r="D17" s="2247" t="s">
        <v>1930</v>
      </c>
      <c r="E17" s="2248" t="s">
        <v>1931</v>
      </c>
      <c r="F17" s="2249"/>
      <c r="G17" s="2250"/>
      <c r="H17" s="2251" t="s">
        <v>1943</v>
      </c>
      <c r="I17" s="2252" t="s">
        <v>1928</v>
      </c>
      <c r="J17" s="1394"/>
      <c r="K17" s="3043" t="s">
        <v>1944</v>
      </c>
      <c r="L17" s="3044"/>
      <c r="M17" s="3045"/>
      <c r="N17" s="3043" t="s">
        <v>1945</v>
      </c>
      <c r="O17" s="3044"/>
      <c r="P17" s="3045"/>
      <c r="R17" s="2230" t="s">
        <v>1946</v>
      </c>
      <c r="S17" s="64"/>
    </row>
    <row r="18" spans="1:19" ht="14.4">
      <c r="A18" s="2240"/>
      <c r="B18" s="2253"/>
      <c r="C18" s="2254"/>
      <c r="D18" s="2255"/>
      <c r="E18" s="2256" t="s">
        <v>1947</v>
      </c>
      <c r="F18" s="2257" t="s">
        <v>1948</v>
      </c>
      <c r="G18" s="2258" t="s">
        <v>1949</v>
      </c>
      <c r="H18" s="1265" t="s">
        <v>1950</v>
      </c>
      <c r="I18" s="2259" t="s">
        <v>1951</v>
      </c>
      <c r="J18" s="1394"/>
      <c r="K18" s="1265" t="s">
        <v>1952</v>
      </c>
      <c r="L18" s="2260" t="s">
        <v>1953</v>
      </c>
      <c r="M18" s="1049" t="s">
        <v>1954</v>
      </c>
      <c r="N18" s="1265" t="s">
        <v>1952</v>
      </c>
      <c r="O18" s="2260" t="s">
        <v>1953</v>
      </c>
      <c r="P18" s="1049" t="s">
        <v>1954</v>
      </c>
      <c r="R18" s="1250" t="s">
        <v>1955</v>
      </c>
      <c r="S18" s="1250" t="s">
        <v>1956</v>
      </c>
    </row>
    <row r="19" spans="1:19" ht="14.4">
      <c r="A19" s="2261"/>
      <c r="B19" s="50" t="s">
        <v>1929</v>
      </c>
      <c r="C19" s="2954" t="s">
        <v>3062</v>
      </c>
      <c r="D19" s="48">
        <f>ROUND($D$3*E19/$E$3,2)</f>
        <v>1826.25</v>
      </c>
      <c r="E19" s="56">
        <f t="shared" ref="E19:E26" si="1">SUM(F19:G19)</f>
        <v>66771.73</v>
      </c>
      <c r="F19" s="57">
        <f>'数据-基础表'!I5</f>
        <v>66771.73</v>
      </c>
      <c r="G19" s="58"/>
      <c r="H19" s="723">
        <f>ROUND($D$3*I19/$E$3,2)</f>
        <v>824.58</v>
      </c>
      <c r="I19" s="51">
        <f t="shared" ref="I19:I26" si="2">IF($I$17="自定义",P19,M19)</f>
        <v>30148.55</v>
      </c>
      <c r="J19" s="1394"/>
      <c r="K19" s="1393">
        <f t="shared" ref="K19:K26" si="3">ROUND(E$28*E19/E$27,2)</f>
        <v>30148.55</v>
      </c>
      <c r="L19" s="1250">
        <f t="shared" ref="L19:L26" si="4">ROUND(IF(COUNTIF(C19,"*住宅*")&gt;0,E$29*E19/E$32,0),2)</f>
        <v>0</v>
      </c>
      <c r="M19" s="1405">
        <f>K19+L19</f>
        <v>30148.55</v>
      </c>
      <c r="N19" s="2263"/>
      <c r="O19" s="2264"/>
      <c r="P19" s="1405">
        <f>N19+O19</f>
        <v>0</v>
      </c>
      <c r="R19" s="1250">
        <f t="shared" ref="R19:S26" si="5">D19+H19</f>
        <v>2650.83</v>
      </c>
      <c r="S19" s="1251">
        <f t="shared" si="5"/>
        <v>96920.28</v>
      </c>
    </row>
    <row r="20" spans="1:19" ht="14.4">
      <c r="A20" s="2265"/>
      <c r="B20" s="50" t="s">
        <v>1957</v>
      </c>
      <c r="C20" s="2954" t="s">
        <v>3063</v>
      </c>
      <c r="D20" s="48">
        <f t="shared" ref="D20:D26" si="6">ROUND($D$3*E20/$E$3,2)</f>
        <v>787.68</v>
      </c>
      <c r="E20" s="56">
        <f t="shared" si="1"/>
        <v>28799.49</v>
      </c>
      <c r="F20" s="57">
        <f>'数据-基础表'!K5</f>
        <v>28799.49</v>
      </c>
      <c r="G20" s="58"/>
      <c r="H20" s="723">
        <f t="shared" ref="H20:H26" si="7">ROUND($D$3*I20/$E$3,2)</f>
        <v>355.65</v>
      </c>
      <c r="I20" s="51">
        <f t="shared" si="2"/>
        <v>13003.45</v>
      </c>
      <c r="J20" s="1394"/>
      <c r="K20" s="1393">
        <f t="shared" si="3"/>
        <v>13003.45</v>
      </c>
      <c r="L20" s="1250">
        <f t="shared" si="4"/>
        <v>0</v>
      </c>
      <c r="M20" s="1405">
        <f t="shared" ref="M20:M26" si="8">K20+L20</f>
        <v>13003.45</v>
      </c>
      <c r="N20" s="2263"/>
      <c r="O20" s="2264"/>
      <c r="P20" s="1405">
        <f t="shared" ref="P20:P26" si="9">N20+O20</f>
        <v>0</v>
      </c>
      <c r="R20" s="1250">
        <f t="shared" si="5"/>
        <v>1143.33</v>
      </c>
      <c r="S20" s="1251">
        <f t="shared" si="5"/>
        <v>41802.94</v>
      </c>
    </row>
    <row r="21" spans="1:19" ht="14.4">
      <c r="A21" s="2265"/>
      <c r="B21" s="50" t="s">
        <v>1957</v>
      </c>
      <c r="C21" s="2262"/>
      <c r="D21" s="48">
        <f t="shared" si="6"/>
        <v>0</v>
      </c>
      <c r="E21" s="56">
        <f t="shared" si="1"/>
        <v>0</v>
      </c>
      <c r="F21" s="57"/>
      <c r="G21" s="58"/>
      <c r="H21" s="723">
        <f t="shared" si="7"/>
        <v>0</v>
      </c>
      <c r="I21" s="51">
        <f t="shared" si="2"/>
        <v>0</v>
      </c>
      <c r="J21" s="1394"/>
      <c r="K21" s="1393">
        <f t="shared" si="3"/>
        <v>0</v>
      </c>
      <c r="L21" s="1250">
        <f t="shared" si="4"/>
        <v>0</v>
      </c>
      <c r="M21" s="1405">
        <f t="shared" si="8"/>
        <v>0</v>
      </c>
      <c r="N21" s="2263"/>
      <c r="O21" s="2264"/>
      <c r="P21" s="1405">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3"/>
      <c r="O22" s="2264"/>
      <c r="P22" s="1405">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3"/>
      <c r="O23" s="2264"/>
      <c r="P23" s="1405">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3"/>
      <c r="O24" s="2264"/>
      <c r="P24" s="1405">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3"/>
      <c r="O25" s="2264"/>
      <c r="P25" s="1405">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50">
        <f t="shared" si="5"/>
        <v>0</v>
      </c>
      <c r="S26" s="1251">
        <f t="shared" si="5"/>
        <v>0</v>
      </c>
    </row>
    <row r="27" spans="1:19" ht="15" thickBot="1">
      <c r="A27" s="2265"/>
      <c r="B27" s="48"/>
      <c r="C27" s="2268" t="s">
        <v>1958</v>
      </c>
      <c r="D27" s="1395">
        <f>SUM(D19:D26)</f>
        <v>2613.9299999999998</v>
      </c>
      <c r="E27" s="1396">
        <f>IF(SUM(E19:E26)='数据-基础表'!BA5,SUM(E19:E26),IF(F27="地上面积有误","面积有误","地下面积有误"))</f>
        <v>95571.22</v>
      </c>
      <c r="F27" s="1395">
        <f>IF(SUM(F19:F26)=E8,SUM(F19:F26),"地上面积有误")</f>
        <v>95571.22</v>
      </c>
      <c r="G27" s="1397">
        <f>SUM(G19:G26)</f>
        <v>0</v>
      </c>
      <c r="H27" s="1398">
        <f>SUM(H19:H26)</f>
        <v>1180.23</v>
      </c>
      <c r="I27" s="1399">
        <f>SUM(I19:I26)</f>
        <v>43152</v>
      </c>
      <c r="J27" s="1394"/>
      <c r="K27" s="1402">
        <f>SUM(K19:K26)</f>
        <v>43152</v>
      </c>
      <c r="L27" s="1403">
        <f>SUM(L19:L26)</f>
        <v>0</v>
      </c>
      <c r="M27" s="1406">
        <f>SUM(M19:M26)</f>
        <v>43152</v>
      </c>
      <c r="N27" s="1402">
        <f t="shared" ref="N27:O27" si="10">SUM(N19:N26)</f>
        <v>0</v>
      </c>
      <c r="O27" s="1403">
        <f t="shared" si="10"/>
        <v>0</v>
      </c>
      <c r="P27" s="1404">
        <f>SUM(P19:P26)</f>
        <v>0</v>
      </c>
      <c r="R27" s="1252">
        <f>IF(SUM(R19:R26)=$D$3,SUM(R19:R26),SUM(R19:R26)&amp;"误差"&amp;ROUND(SUM(R19:R26)-$D$3,2))</f>
        <v>3794.16</v>
      </c>
      <c r="S27" s="1250">
        <f>IF(SUM(S19:S26)=$E$3,SUM(S19:S26),SUM(S19:S26)&amp;"误差"&amp;ROUND(SUM(S19:S26)-E3,2))</f>
        <v>138723.22</v>
      </c>
    </row>
    <row r="28" spans="1:19" ht="14.4">
      <c r="A28" s="2265"/>
      <c r="B28" s="50" t="s">
        <v>1959</v>
      </c>
      <c r="C28" s="1262" t="s">
        <v>1960</v>
      </c>
      <c r="D28" s="48">
        <f>ROUND($D$3*E28/$E$3,2)</f>
        <v>1180.23</v>
      </c>
      <c r="E28" s="56">
        <f>SUM(F28:G28)</f>
        <v>43152</v>
      </c>
      <c r="F28" s="64">
        <f>'数据-基础表'!BQ5+'数据-基础表'!BS5</f>
        <v>0</v>
      </c>
      <c r="G28" s="65">
        <f>'数据-基础表'!BR5+'数据-基础表'!BT5</f>
        <v>43152</v>
      </c>
      <c r="H28" s="1394"/>
      <c r="I28" s="1394"/>
      <c r="J28" s="1394"/>
      <c r="K28" s="1394"/>
      <c r="L28" s="1394"/>
      <c r="M28" s="1394"/>
      <c r="N28" s="1394"/>
      <c r="O28" s="1394"/>
      <c r="P28" s="1394"/>
    </row>
    <row r="29" spans="1:19" ht="14.4">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1958</v>
      </c>
      <c r="D30" s="1395">
        <f>SUM(D28:D29)</f>
        <v>1180.23</v>
      </c>
      <c r="E30" s="1395">
        <f>SUM(E28:E29)</f>
        <v>43152</v>
      </c>
      <c r="F30" s="1395">
        <f>SUM(F28:F29)</f>
        <v>0</v>
      </c>
      <c r="G30" s="1397">
        <f>SUM(G28:G29)</f>
        <v>43152</v>
      </c>
      <c r="H30" s="1394"/>
      <c r="I30" s="1394"/>
      <c r="J30" s="1394"/>
      <c r="K30" s="1394"/>
      <c r="L30" s="1394"/>
      <c r="M30" s="1394"/>
      <c r="N30" s="1394"/>
      <c r="O30" s="1394"/>
      <c r="P30" s="1394"/>
    </row>
    <row r="31" spans="1:19" ht="15" thickBot="1">
      <c r="A31" s="2271"/>
      <c r="B31" s="2272"/>
      <c r="C31" s="1010" t="s">
        <v>1962</v>
      </c>
      <c r="D31" s="729">
        <f>D27+D30</f>
        <v>3794.16</v>
      </c>
      <c r="E31" s="729">
        <f>E27+E30</f>
        <v>138723.22</v>
      </c>
      <c r="F31" s="730">
        <f>F27+F30</f>
        <v>95571.22</v>
      </c>
      <c r="G31" s="731">
        <f>G27+G30</f>
        <v>43152</v>
      </c>
      <c r="H31" s="1394"/>
      <c r="I31" s="1394"/>
      <c r="J31" s="1394"/>
      <c r="K31" s="1394"/>
      <c r="L31" s="1394"/>
      <c r="M31" s="1394"/>
      <c r="N31" s="1394"/>
      <c r="O31" s="1394"/>
      <c r="P31" s="1394"/>
    </row>
    <row r="32" spans="1:19" ht="14.4">
      <c r="A32" s="2235"/>
      <c r="B32" s="2235" t="s">
        <v>1963</v>
      </c>
      <c r="C32" s="2235"/>
      <c r="D32" s="2235"/>
      <c r="E32" s="1277">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9" sqref="L9"/>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8" t="s">
        <v>1965</v>
      </c>
      <c r="B2" s="1269">
        <f>项目基本情况!D3</f>
        <v>43488</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4.4"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3065</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3.8">
      <c r="A6" s="2308" t="str">
        <f>'数据-汇总表'!C19</f>
        <v>酒店</v>
      </c>
      <c r="B6" s="2309" t="str">
        <f>IF(A6=0,"","经营性")</f>
        <v>经营性</v>
      </c>
      <c r="C6" s="2310" t="s">
        <v>1373</v>
      </c>
      <c r="D6" s="1054">
        <f>SUMIF(项目基本情况!D$12:I$12,C6,项目基本情况!D$14:I$14)</f>
        <v>40</v>
      </c>
      <c r="E6" s="1051">
        <f>IF(B6="","",SUMIF(项目基本情况!D$12:I$12,C6,项目基本情况!D$13:I$13))</f>
        <v>56868</v>
      </c>
      <c r="F6" s="72">
        <f>SUMIF(项目基本情况!D$12:I$12,C6,项目基本情况!D$15:I$15)</f>
        <v>36.65</v>
      </c>
      <c r="G6" s="73">
        <f>IF(ISERROR(ROUND(POWER(1+H6,D6-F6)*(POWER(1+H6,F6)-1)/(POWER(1+H6,D6)-1),3)),0,ROUND(POWER(1+H6,D6-F6)*(POWER(1+H6,F6)-1)/(POWER(1+H6,D6)-1),3))</f>
        <v>0.97099999999999997</v>
      </c>
      <c r="H6" s="802">
        <v>0.05</v>
      </c>
      <c r="I6" s="802">
        <v>5.5E-2</v>
      </c>
      <c r="J6" s="74">
        <v>8.5000000000000006E-2</v>
      </c>
      <c r="K6" s="1254">
        <f>SUMIF('数据-汇总表'!C$19:C$33,A6,'数据-汇总表'!E$19:E$33)</f>
        <v>66771.73</v>
      </c>
      <c r="L6" s="803">
        <v>9000</v>
      </c>
      <c r="M6" s="75">
        <f t="shared" ref="M6:M14" si="0">ROUND(K6*L6/10000,0)</f>
        <v>60095</v>
      </c>
      <c r="N6" s="801">
        <v>1</v>
      </c>
      <c r="O6" s="75" t="str">
        <f>IF($N$5="成新度","——",ROUND(M6*N6,0))</f>
        <v>——</v>
      </c>
      <c r="P6" s="76" t="str">
        <f>IF($N$5="成新度","——",M6-O6)</f>
        <v>——</v>
      </c>
      <c r="Q6" s="804">
        <v>0.2</v>
      </c>
      <c r="R6" s="77">
        <f ca="1">SUMIF('数据-汇总表'!C$19:C$33,A6,'数据-汇总表'!R$19:R$27)</f>
        <v>2650.83</v>
      </c>
      <c r="S6" s="54">
        <f>IF('数据-汇总表'!$I$17="按面积比例",SUMIF('数据-汇总表'!C$19:C$33,A6,'数据-汇总表'!K$19:K$33),SUMIF('数据-汇总表'!C$19:C$33,A6,'数据-汇总表'!N$19:N$33))</f>
        <v>30148.55</v>
      </c>
      <c r="T6" s="1445">
        <f>ROUND($L$14*S6/10000,0)</f>
        <v>12059</v>
      </c>
      <c r="U6" s="78">
        <f>酒店收入计算!E26</f>
        <v>6328.2999999999993</v>
      </c>
      <c r="V6" s="79">
        <v>0.03</v>
      </c>
      <c r="W6" s="79">
        <v>1</v>
      </c>
      <c r="X6" s="1264"/>
      <c r="Y6" s="80">
        <v>1</v>
      </c>
      <c r="Z6" s="81"/>
      <c r="AA6" s="74"/>
      <c r="AB6" s="74"/>
      <c r="AC6" s="1264"/>
      <c r="AD6" s="82"/>
      <c r="AE6" s="1265">
        <f ca="1">IF(AN6="",0,SUMIF(INDIRECT("'"&amp;AN6&amp;"'"&amp;"!E:E"),$AE$5,INDIRECT("'"&amp;AN6&amp;"'"&amp;"!F:F")))</f>
        <v>36.65</v>
      </c>
      <c r="AF6" s="1805"/>
      <c r="AG6" s="147">
        <f>IF(AF6="",0,AE6-AF6)</f>
        <v>0</v>
      </c>
      <c r="AH6" s="83"/>
      <c r="AI6" s="85">
        <v>1</v>
      </c>
      <c r="AJ6" s="86"/>
      <c r="AK6" s="87">
        <v>0.01</v>
      </c>
      <c r="AL6" s="88">
        <v>1.5E-3</v>
      </c>
      <c r="AM6" s="89">
        <v>1.4999999999999999E-2</v>
      </c>
      <c r="AN6" s="2311" t="s">
        <v>3376</v>
      </c>
      <c r="AO6" s="55">
        <f ca="1">SUMIF(INDIRECT("'"&amp;AN6&amp;"'"&amp;"!A:A"),"总价",INDIRECT("'"&amp;AN6&amp;"'"&amp;"!B:B"))</f>
        <v>88538</v>
      </c>
      <c r="AP6" s="2312">
        <f>IF(C6="住宅",K6*L6,0)</f>
        <v>0</v>
      </c>
      <c r="AQ6" s="55">
        <f>ROUND($L$14*$N$14*S6/10000,0)</f>
        <v>12059</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3.8">
      <c r="A7" s="2308" t="str">
        <f>'数据-汇总表'!C20</f>
        <v>办公</v>
      </c>
      <c r="B7" s="2309" t="str">
        <f t="shared" ref="B7:B13" si="1">IF(A7=0,"","经营性")</f>
        <v>经营性</v>
      </c>
      <c r="C7" s="2310" t="s">
        <v>27</v>
      </c>
      <c r="D7" s="1054">
        <f>SUMIF(项目基本情况!D$12:I$12,C7,项目基本情况!D$14:I$14)</f>
        <v>40</v>
      </c>
      <c r="E7" s="1051">
        <f>IF(B7="","",SUMIF(项目基本情况!D$12:I$12,C7,项目基本情况!D$13:I$13))</f>
        <v>56868</v>
      </c>
      <c r="F7" s="72">
        <f>SUMIF(项目基本情况!D$12:I$12,C7,项目基本情况!D$15:I$15)</f>
        <v>36.65</v>
      </c>
      <c r="G7" s="73">
        <f t="shared" ref="G7:G11" si="2">IF(ISERROR(ROUND(POWER(1+H7,D7-F7)*(POWER(1+H7,F7)-1)/(POWER(1+H7,D7)-1),3)),0,ROUND(POWER(1+H7,D7-F7)*(POWER(1+H7,F7)-1)/(POWER(1+H7,D7)-1),3))</f>
        <v>0.97099999999999997</v>
      </c>
      <c r="H7" s="802">
        <v>0.05</v>
      </c>
      <c r="I7" s="802">
        <v>5.5E-2</v>
      </c>
      <c r="J7" s="74">
        <v>8.5000000000000006E-2</v>
      </c>
      <c r="K7" s="1254">
        <f>SUMIF('数据-汇总表'!C$19:C$33,A7,'数据-汇总表'!E$19:E$33)</f>
        <v>28799.49</v>
      </c>
      <c r="L7" s="803">
        <v>6000</v>
      </c>
      <c r="M7" s="75">
        <f t="shared" si="0"/>
        <v>17280</v>
      </c>
      <c r="N7" s="801">
        <v>1</v>
      </c>
      <c r="O7" s="75" t="str">
        <f t="shared" ref="O7:O14" si="3">IF($N$5="成新度","——",ROUND(M7*N7,0))</f>
        <v>——</v>
      </c>
      <c r="P7" s="76" t="str">
        <f t="shared" ref="P7:P14" si="4">IF($N$5="成新度","——",M7-O7)</f>
        <v>——</v>
      </c>
      <c r="Q7" s="804">
        <v>0.15</v>
      </c>
      <c r="R7" s="77">
        <f ca="1">SUMIF('数据-汇总表'!C$19:C$33,A7,'数据-汇总表'!R$19:R$27)</f>
        <v>1143.33</v>
      </c>
      <c r="S7" s="54">
        <f>IF('数据-汇总表'!$I$17="按面积比例",SUMIF('数据-汇总表'!C$19:C$33,A7,'数据-汇总表'!K$19:K$33),SUMIF('数据-汇总表'!C$19:C$33,A7,'数据-汇总表'!N$19:N$33))</f>
        <v>13003.45</v>
      </c>
      <c r="T7" s="1445">
        <f t="shared" ref="T7:T13" si="5">ROUND($L$14*S7/10000,0)</f>
        <v>5201</v>
      </c>
      <c r="U7" s="78">
        <v>4.5</v>
      </c>
      <c r="V7" s="79">
        <v>3.5000000000000003E-2</v>
      </c>
      <c r="W7" s="79">
        <v>0.1</v>
      </c>
      <c r="X7" s="1264"/>
      <c r="Y7" s="80">
        <v>1</v>
      </c>
      <c r="Z7" s="81"/>
      <c r="AA7" s="74"/>
      <c r="AB7" s="74"/>
      <c r="AC7" s="1264"/>
      <c r="AD7" s="82"/>
      <c r="AE7" s="1265">
        <f t="shared" ref="AE7:AE13" ca="1" si="6">IF(AN7="",0,SUMIF(INDIRECT("'"&amp;AN7&amp;"'"&amp;"!E:E"),$AE$5,INDIRECT("'"&amp;AN7&amp;"'"&amp;"!F:F")))</f>
        <v>36.65</v>
      </c>
      <c r="AF7" s="1805"/>
      <c r="AG7" s="147">
        <f t="shared" ref="AG7:AG13" si="7">IF(AF7="",0,AE7-AF7)</f>
        <v>0</v>
      </c>
      <c r="AH7" s="83"/>
      <c r="AI7" s="85">
        <v>365</v>
      </c>
      <c r="AJ7" s="86"/>
      <c r="AK7" s="87">
        <v>0.01</v>
      </c>
      <c r="AL7" s="88">
        <v>1.5E-3</v>
      </c>
      <c r="AM7" s="89">
        <v>1.4999999999999999E-2</v>
      </c>
      <c r="AN7" s="2311" t="s">
        <v>3378</v>
      </c>
      <c r="AO7" s="55">
        <f t="shared" ref="AO7:AO13" ca="1" si="8">SUMIF(INDIRECT("'"&amp;AN7&amp;"'"&amp;"!A:A"),"总价",INDIRECT("'"&amp;AN7&amp;"'"&amp;"!B:B"))</f>
        <v>78099</v>
      </c>
      <c r="AP7" s="2312">
        <f t="shared" ref="AP7:AP13" si="9">IF(C7="住宅",K7*L7,0)</f>
        <v>0</v>
      </c>
      <c r="AQ7" s="55">
        <f t="shared" ref="AQ7:AQ13" si="10">ROUND($L$14*$N$14*S7/10000,0)</f>
        <v>5201</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4">
      <c r="A14" s="2313" t="s">
        <v>2009</v>
      </c>
      <c r="B14" s="2309" t="s">
        <v>2010</v>
      </c>
      <c r="C14" s="2314" t="s">
        <v>2009</v>
      </c>
      <c r="D14" s="1054"/>
      <c r="E14" s="1051"/>
      <c r="F14" s="72"/>
      <c r="G14" s="73"/>
      <c r="H14" s="1253"/>
      <c r="I14" s="1253"/>
      <c r="J14" s="1253"/>
      <c r="K14" s="1254">
        <f>SUMIF('数据-汇总表'!C$19:C$33,A14,'数据-汇总表'!E$19:E$33)</f>
        <v>43152</v>
      </c>
      <c r="L14" s="91">
        <v>4000</v>
      </c>
      <c r="M14" s="75">
        <f t="shared" si="0"/>
        <v>17261</v>
      </c>
      <c r="N14" s="92">
        <f>N6</f>
        <v>1</v>
      </c>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8.8">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 thickBot="1">
      <c r="A16" s="2315" t="s">
        <v>2013</v>
      </c>
      <c r="B16" s="97"/>
      <c r="C16" s="1008"/>
      <c r="D16" s="2316"/>
      <c r="E16" s="97"/>
      <c r="F16" s="97"/>
      <c r="G16" s="98">
        <f>ROUND(SUMPRODUCT(G6:G13,K6:K13)/SUMPRODUCT((G6:G13&gt;0)*(K6:K13)),3)</f>
        <v>0.97099999999999997</v>
      </c>
      <c r="H16" s="99">
        <f>ROUND(SUMPRODUCT(H6:H13,K6:K13)/SUMPRODUCT((H6:H13&gt;0)*(K6:K13)),3)</f>
        <v>0.05</v>
      </c>
      <c r="I16" s="100"/>
      <c r="J16" s="100"/>
      <c r="K16" s="101">
        <f>SUM(K6:K15)</f>
        <v>138723.22</v>
      </c>
      <c r="L16" s="102">
        <f>ROUND(M16*10000/SUM(K6:K14),0)</f>
        <v>6822</v>
      </c>
      <c r="M16" s="102">
        <f>SUM(M6:M14)</f>
        <v>94636</v>
      </c>
      <c r="N16" s="103">
        <f>ROUND(SUMPRODUCT(M6:M14,N6:N14)/M16,3)</f>
        <v>1</v>
      </c>
      <c r="O16" s="102">
        <f>SUM(O6:O14)</f>
        <v>0</v>
      </c>
      <c r="P16" s="102">
        <f>SUM(P6:P14)</f>
        <v>0</v>
      </c>
      <c r="Q16" s="104">
        <f>ROUND(SUMPRODUCT(Q6:Q13,K6:K13)/SUMPRODUCT((Q6:Q13&gt;0)*(K6:K13)),2)</f>
        <v>0.18</v>
      </c>
      <c r="R16" s="1258">
        <f ca="1">SUM(R6:R13)</f>
        <v>3794.16</v>
      </c>
      <c r="S16" s="105">
        <f>SUM(S6:S13)</f>
        <v>43152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8" t="s">
        <v>2015</v>
      </c>
      <c r="B19" s="112">
        <v>0</v>
      </c>
      <c r="C19" s="2279" t="s">
        <v>2016</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9" t="s">
        <v>2017</v>
      </c>
      <c r="B20" s="113">
        <v>2.5</v>
      </c>
      <c r="C20" s="2279" t="s">
        <v>2018</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20" t="s">
        <v>2019</v>
      </c>
      <c r="B21" s="113">
        <v>2.5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9" t="s">
        <v>2020</v>
      </c>
      <c r="B22" s="114">
        <f>B19+B20</f>
        <v>2.5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20" t="s">
        <v>2021</v>
      </c>
      <c r="B23" s="114">
        <f>B19+B21</f>
        <v>2.5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2022</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2023</v>
      </c>
      <c r="B26" s="2322" t="s">
        <v>2024</v>
      </c>
      <c r="C26" s="2323" t="s">
        <v>2025</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8.8">
      <c r="A27" s="2324" t="s">
        <v>2026</v>
      </c>
      <c r="B27" s="116"/>
      <c r="C27" s="1765" t="s">
        <v>2027</v>
      </c>
      <c r="D27" s="2325"/>
      <c r="E27" s="1429"/>
      <c r="F27" s="1429"/>
      <c r="G27" s="2279"/>
      <c r="H27" s="2279"/>
      <c r="I27" s="2279"/>
      <c r="J27" s="2279"/>
      <c r="K27" s="168"/>
      <c r="L27" s="168"/>
      <c r="M27" s="1582"/>
      <c r="N27" s="1582" t="s">
        <v>3381</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2028</v>
      </c>
      <c r="B28" s="119">
        <v>220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2029</v>
      </c>
      <c r="B29" s="121">
        <f>ROUND(B28*K16/10000,0)</f>
        <v>3052</v>
      </c>
      <c r="C29" s="1765" t="s">
        <v>2030</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2031</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2032</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2033</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2034</v>
      </c>
      <c r="B33" s="726">
        <v>0.05</v>
      </c>
      <c r="C33" s="1764" t="s">
        <v>2035</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2036</v>
      </c>
      <c r="B34" s="122">
        <v>0</v>
      </c>
      <c r="C34" s="1764" t="s">
        <v>2037</v>
      </c>
      <c r="D34" s="2280" t="s">
        <v>2038</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2039</v>
      </c>
      <c r="B35" s="119">
        <v>200</v>
      </c>
      <c r="C35" s="1764" t="s">
        <v>2040</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4" t="s">
        <v>2042</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30" t="s">
        <v>2043</v>
      </c>
      <c r="B37" s="124">
        <v>0.02</v>
      </c>
      <c r="C37" s="1764" t="s">
        <v>2044</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7" t="s">
        <v>2045</v>
      </c>
      <c r="B38" s="122">
        <v>0.02</v>
      </c>
      <c r="C38" s="1764" t="s">
        <v>2044</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31" t="s">
        <v>2046</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2047</v>
      </c>
      <c r="B40" s="1303">
        <f ca="1">存贷款利率!G1</f>
        <v>4.7500000000000001E-2</v>
      </c>
      <c r="C40" s="1764" t="s">
        <v>2048</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4" t="s">
        <v>2049</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2" t="s">
        <v>2050</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2" t="s">
        <v>2051</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4" t="s">
        <v>2052</v>
      </c>
      <c r="B44" s="128">
        <v>7.0000000000000007E-2</v>
      </c>
      <c r="C44" s="1764" t="s">
        <v>2053</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4" t="s">
        <v>2054</v>
      </c>
      <c r="B45" s="126">
        <v>0.03</v>
      </c>
      <c r="C45" s="1765" t="s">
        <v>2055</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4" t="s">
        <v>2056</v>
      </c>
      <c r="B46" s="126">
        <v>0.02</v>
      </c>
      <c r="C46" s="1765" t="s">
        <v>2057</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2058</v>
      </c>
      <c r="B47" s="129"/>
      <c r="C47" s="1765" t="s">
        <v>2059</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6" t="s">
        <v>2060</v>
      </c>
      <c r="B48" s="130">
        <v>0.03</v>
      </c>
      <c r="C48" s="1772" t="s">
        <v>2061</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2062</v>
      </c>
      <c r="B49" s="126">
        <v>5.0000000000000001E-4</v>
      </c>
      <c r="C49" s="1772" t="s">
        <v>2063</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7" t="s">
        <v>2064</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2065</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7" t="s">
        <v>2066</v>
      </c>
      <c r="B52" s="133">
        <f>SUMIF(A54:A63,B53,B54:B63)</f>
        <v>18</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7" t="s">
        <v>2067</v>
      </c>
      <c r="B53" s="2338" t="s">
        <v>212</v>
      </c>
      <c r="C53" s="1429" t="s">
        <v>2068</v>
      </c>
      <c r="D53" s="2339" t="s">
        <v>2069</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40" t="s">
        <v>2070</v>
      </c>
      <c r="B54" s="84">
        <v>18</v>
      </c>
      <c r="C54" s="1429">
        <v>30</v>
      </c>
      <c r="D54" s="2280"/>
      <c r="E54" s="2279"/>
      <c r="F54" s="2279"/>
      <c r="G54" s="2279"/>
      <c r="H54" s="2279"/>
      <c r="I54" s="2279"/>
      <c r="J54" s="2279"/>
      <c r="K54" s="168"/>
      <c r="L54" s="168"/>
      <c r="M54" s="1582"/>
      <c r="N54" s="1582" t="s">
        <v>3380</v>
      </c>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40" t="s">
        <v>2071</v>
      </c>
      <c r="B55" s="84"/>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40" t="s">
        <v>2072</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40" t="s">
        <v>2073</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40" t="s">
        <v>2074</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40" t="s">
        <v>2075</v>
      </c>
      <c r="B59" s="84"/>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40" t="s">
        <v>2076</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40" t="s">
        <v>2077</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40" t="s">
        <v>2078</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2079</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58" t="s">
        <v>2080</v>
      </c>
      <c r="B1" s="3059"/>
      <c r="C1" s="3059"/>
      <c r="D1" s="3059"/>
      <c r="E1" s="3059"/>
      <c r="F1" s="3059"/>
      <c r="G1" s="30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2081</v>
      </c>
      <c r="D2" s="2368"/>
      <c r="E2" s="2369"/>
      <c r="F2" s="2288"/>
      <c r="G2" s="2367" t="s">
        <v>2082</v>
      </c>
      <c r="H2" s="2370"/>
      <c r="I2" s="2370"/>
      <c r="J2" s="2370"/>
      <c r="K2" s="2370"/>
      <c r="L2" s="2370"/>
      <c r="M2" s="2370"/>
      <c r="N2" s="2370"/>
      <c r="O2" s="2370"/>
      <c r="P2" s="2370"/>
      <c r="Q2" s="2370"/>
      <c r="R2" s="2370"/>
    </row>
    <row r="3" spans="1:29" ht="57.6">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3.2">
      <c r="A4" s="431"/>
      <c r="B4" s="1796" t="s">
        <v>2088</v>
      </c>
      <c r="C4" s="2376" t="s">
        <v>2089</v>
      </c>
      <c r="D4" s="2373"/>
      <c r="E4" s="2377"/>
      <c r="F4" s="42" t="s">
        <v>2090</v>
      </c>
      <c r="G4" s="2378" t="s">
        <v>2091</v>
      </c>
      <c r="H4" s="2370"/>
      <c r="I4" s="2370"/>
      <c r="J4" s="2370"/>
      <c r="K4" s="2370"/>
      <c r="L4" s="2370"/>
      <c r="M4" s="2370"/>
      <c r="N4" s="2370"/>
      <c r="O4" s="2370"/>
      <c r="P4" s="2370"/>
      <c r="Q4" s="2370"/>
      <c r="R4" s="2370"/>
    </row>
    <row r="5" spans="1:29" ht="43.2">
      <c r="A5" s="431"/>
      <c r="B5" s="1796" t="s">
        <v>2092</v>
      </c>
      <c r="C5" s="2376" t="s">
        <v>2093</v>
      </c>
      <c r="D5" s="2373"/>
      <c r="E5" s="2377"/>
      <c r="F5" s="1796" t="s">
        <v>2094</v>
      </c>
      <c r="G5" s="2378" t="s">
        <v>2095</v>
      </c>
      <c r="H5" s="2370"/>
      <c r="I5" s="2370"/>
      <c r="J5" s="2370"/>
      <c r="K5" s="2370"/>
      <c r="L5" s="2370"/>
      <c r="M5" s="2370"/>
      <c r="N5" s="2370"/>
      <c r="O5" s="2370"/>
      <c r="P5" s="2370"/>
      <c r="Q5" s="2370"/>
      <c r="R5" s="2370"/>
    </row>
    <row r="6" spans="1:29" ht="57.6">
      <c r="A6" s="431"/>
      <c r="B6" s="1796" t="s">
        <v>2096</v>
      </c>
      <c r="C6" s="2378" t="s">
        <v>2091</v>
      </c>
      <c r="D6" s="2373"/>
      <c r="E6" s="2377"/>
      <c r="F6" s="1796" t="s">
        <v>2097</v>
      </c>
      <c r="G6" s="2378" t="s">
        <v>2098</v>
      </c>
      <c r="H6" s="2370"/>
      <c r="I6" s="2370"/>
      <c r="J6" s="2370"/>
      <c r="K6" s="2370"/>
      <c r="L6" s="2370"/>
      <c r="M6" s="2370"/>
      <c r="N6" s="2370"/>
      <c r="O6" s="2370"/>
      <c r="P6" s="2370"/>
      <c r="Q6" s="2370"/>
      <c r="R6" s="2370"/>
    </row>
    <row r="7" spans="1:29" ht="43.8" thickBot="1">
      <c r="A7" s="431"/>
      <c r="B7" s="1796" t="s">
        <v>2094</v>
      </c>
      <c r="C7" s="2378" t="s">
        <v>2095</v>
      </c>
      <c r="D7" s="2379"/>
      <c r="E7" s="2380"/>
      <c r="F7" s="2381" t="s">
        <v>2099</v>
      </c>
      <c r="G7" s="2382" t="s">
        <v>2100</v>
      </c>
      <c r="H7" s="2370"/>
      <c r="I7" s="2370"/>
      <c r="J7" s="2370"/>
      <c r="K7" s="2370"/>
      <c r="L7" s="2370"/>
      <c r="M7" s="2370"/>
      <c r="N7" s="2370"/>
      <c r="O7" s="2370"/>
      <c r="P7" s="2370"/>
      <c r="Q7" s="2370"/>
      <c r="R7" s="2370"/>
    </row>
    <row r="8" spans="1:29" ht="28.8">
      <c r="A8" s="431"/>
      <c r="B8" s="1796" t="s">
        <v>2097</v>
      </c>
      <c r="C8" s="2378" t="s">
        <v>2098</v>
      </c>
      <c r="D8" s="2379"/>
      <c r="E8" s="2379"/>
      <c r="F8" s="1136"/>
      <c r="G8" s="1136"/>
      <c r="H8" s="2370"/>
      <c r="I8" s="2370"/>
      <c r="J8" s="2370"/>
      <c r="K8" s="2370"/>
      <c r="L8" s="2370"/>
      <c r="M8" s="2370"/>
      <c r="N8" s="2370"/>
      <c r="O8" s="2370"/>
      <c r="P8" s="2370"/>
      <c r="Q8" s="2370"/>
      <c r="R8" s="2370"/>
    </row>
    <row r="9" spans="1:29" ht="43.2">
      <c r="A9" s="431"/>
      <c r="B9" s="1796" t="s">
        <v>2101</v>
      </c>
      <c r="C9" s="2376" t="s">
        <v>2102</v>
      </c>
      <c r="D9" s="2373"/>
      <c r="E9" s="2379"/>
      <c r="F9" s="1136"/>
      <c r="G9" s="1136"/>
      <c r="H9" s="2370"/>
      <c r="I9" s="2370"/>
      <c r="J9" s="2370"/>
      <c r="K9" s="2370"/>
      <c r="L9" s="2370"/>
      <c r="M9" s="2370"/>
      <c r="N9" s="2370"/>
      <c r="O9" s="2370"/>
      <c r="P9" s="2370"/>
      <c r="Q9" s="2370"/>
      <c r="R9" s="2370"/>
    </row>
    <row r="10" spans="1:29" s="117" customFormat="1" ht="1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2104</v>
      </c>
      <c r="B13" s="2390"/>
      <c r="C13" s="2390"/>
      <c r="D13" s="2397"/>
      <c r="E13" s="2390"/>
      <c r="F13" s="2390"/>
      <c r="G13" s="2390"/>
    </row>
    <row r="14" spans="1:29" ht="15" thickBot="1">
      <c r="A14" s="2401"/>
      <c r="B14" s="2402"/>
      <c r="C14" s="2403" t="s">
        <v>2105</v>
      </c>
      <c r="D14" s="2373"/>
      <c r="E14" s="2404"/>
      <c r="F14" s="2404"/>
      <c r="G14" s="2367" t="s">
        <v>2106</v>
      </c>
    </row>
    <row r="15" spans="1:29" ht="55.2">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1.4">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1.4">
      <c r="A17" s="645"/>
      <c r="B17" s="2407" t="s">
        <v>2092</v>
      </c>
      <c r="C17" s="2408" t="str">
        <f>C5</f>
        <v>估价对象位于XX商圈，周边办公楼项目较多，入驻率高，办公集聚程度较好</v>
      </c>
      <c r="D17" s="2379"/>
      <c r="E17" s="2409"/>
      <c r="F17" s="2410" t="s">
        <v>2110</v>
      </c>
      <c r="G17" s="1570"/>
    </row>
    <row r="18" spans="1:18" ht="55.2">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7.6">
      <c r="A19" s="645"/>
      <c r="B19" s="2410" t="s">
        <v>2111</v>
      </c>
      <c r="C19" s="1570"/>
      <c r="D19" s="2373"/>
      <c r="E19" s="2409"/>
      <c r="F19" s="1796" t="s">
        <v>2094</v>
      </c>
      <c r="G19" s="136" t="str">
        <f>G5</f>
        <v>估价对象所在区域公共配套设施齐备情况</v>
      </c>
    </row>
    <row r="20" spans="1:18" ht="41.4">
      <c r="A20" s="645"/>
      <c r="B20" s="2410" t="s">
        <v>2112</v>
      </c>
      <c r="C20" s="2408" t="str">
        <f>C9</f>
        <v>区域自然环境：；人文环境；综合评价环境状况一般</v>
      </c>
      <c r="D20" s="2379"/>
      <c r="E20" s="2409"/>
      <c r="F20" s="1796" t="s">
        <v>2113</v>
      </c>
      <c r="G20" s="136" t="str">
        <f>G6</f>
        <v>估价对象所在区域基础设施水平</v>
      </c>
    </row>
    <row r="21" spans="1:18" ht="27.6">
      <c r="A21" s="645"/>
      <c r="B21" s="1796" t="s">
        <v>2094</v>
      </c>
      <c r="C21" s="136" t="str">
        <f>C7</f>
        <v>估价对象所在区域公共配套设施齐备情况</v>
      </c>
      <c r="D21" s="2373"/>
      <c r="E21" s="2409"/>
      <c r="F21" s="2410" t="s">
        <v>2114</v>
      </c>
      <c r="G21" s="2411"/>
    </row>
    <row r="22" spans="1:18" ht="13.5" customHeight="1">
      <c r="A22" s="645"/>
      <c r="B22" s="1796" t="s">
        <v>2097</v>
      </c>
      <c r="C22" s="136" t="str">
        <f>C8</f>
        <v>估价对象所在区域基础设施水平</v>
      </c>
      <c r="D22" s="2373"/>
      <c r="E22" s="2409"/>
      <c r="F22" s="2410" t="s">
        <v>2103</v>
      </c>
      <c r="G22" s="1570"/>
    </row>
    <row r="23" spans="1:18" s="2370" customFormat="1" ht="1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138723.22</v>
      </c>
      <c r="C1" s="1743"/>
      <c r="D1" s="1743"/>
      <c r="E1" s="1743"/>
      <c r="F1" s="1743"/>
      <c r="G1" s="1741"/>
    </row>
    <row r="2" spans="1:10" ht="16.2">
      <c r="A2" s="1744" t="s">
        <v>1349</v>
      </c>
      <c r="B2" s="1744">
        <f>SUM(C14:C23)</f>
        <v>3794.16</v>
      </c>
      <c r="C2" s="1743"/>
      <c r="D2" s="1743"/>
      <c r="E2" s="1743"/>
      <c r="F2" s="1743"/>
      <c r="G2" s="1741"/>
    </row>
    <row r="3" spans="1:10" ht="15.6">
      <c r="A3" s="1744" t="s">
        <v>1358</v>
      </c>
      <c r="B3" s="1745">
        <f>项目基本情况!D3</f>
        <v>43488</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180408</v>
      </c>
      <c r="C5" s="1744">
        <f ca="1">ROUND(B5*10000/$B$1,0)</f>
        <v>13005</v>
      </c>
      <c r="D5" s="1744">
        <f ca="1">ROUND(B5*10000/$B$2,0)</f>
        <v>475489</v>
      </c>
      <c r="E5" s="1743"/>
      <c r="F5" s="1741"/>
      <c r="G5" s="1741"/>
    </row>
    <row r="6" spans="1:10" ht="15.6">
      <c r="A6" s="1744" t="s">
        <v>1352</v>
      </c>
      <c r="B6" s="1744">
        <f ca="1">SUM(G14:G23)</f>
        <v>180408</v>
      </c>
      <c r="C6" s="1744">
        <f ca="1">ROUND(B6*10000/$B$1,0)</f>
        <v>13005</v>
      </c>
      <c r="D6" s="1744">
        <f ca="1">ROUND(B6*10000/$B$2,0)</f>
        <v>475489</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SUM(I14:I23)</f>
        <v>0</v>
      </c>
      <c r="C8" s="1744">
        <f>ROUND(B8*10000/$B$1,0)</f>
        <v>0</v>
      </c>
      <c r="D8" s="1744">
        <f>ROUND(B8*10000/$B$2,0)</f>
        <v>0</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138723.22</v>
      </c>
      <c r="C14" s="1742">
        <f>结果表!C118</f>
        <v>3794.16</v>
      </c>
      <c r="D14" s="1742">
        <f ca="1">结果表!H118</f>
        <v>180408</v>
      </c>
      <c r="E14" s="1742">
        <f ca="1">ROUND(D14*10000/B14,0)</f>
        <v>13005</v>
      </c>
      <c r="F14" s="1742">
        <f ca="1">ROUND(D14*10000/C14,0)</f>
        <v>475489</v>
      </c>
      <c r="G14" s="1742">
        <f ca="1">结果表!D122</f>
        <v>180408</v>
      </c>
      <c r="H14" s="1742" t="str">
        <f>结果表!D124</f>
        <v>——</v>
      </c>
      <c r="I14" s="1742" t="str">
        <f>结果表!D126</f>
        <v>——</v>
      </c>
      <c r="J14" s="1741"/>
    </row>
    <row r="15" spans="1:10" ht="15.6">
      <c r="A15" s="1740" t="s">
        <v>1345</v>
      </c>
      <c r="B15" s="1747"/>
      <c r="C15" s="1747"/>
      <c r="D15" s="1747"/>
      <c r="E15" s="1742" t="e">
        <f t="shared" ref="E15:E23" si="0">ROUND(D15*10000/B15,0)</f>
        <v>#DIV/0!</v>
      </c>
      <c r="F15" s="1742" t="e">
        <f t="shared" ref="F15:F23" si="1">ROUND(D15*10000/C15,0)</f>
        <v>#DIV/0!</v>
      </c>
      <c r="G15" s="1748"/>
      <c r="H15" s="1748"/>
      <c r="I15" s="1747"/>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7" sqref="J27"/>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2117</v>
      </c>
      <c r="B1" s="2421"/>
      <c r="C1" s="2422"/>
      <c r="D1" s="2421"/>
      <c r="E1" s="2421"/>
      <c r="F1" s="2423" t="s">
        <v>2118</v>
      </c>
      <c r="G1" s="2072" t="s">
        <v>2119</v>
      </c>
      <c r="H1" s="2424" t="str">
        <f>IF(G1="现房","——","估价对象范围")</f>
        <v>估价对象范围</v>
      </c>
      <c r="I1" s="2425"/>
    </row>
    <row r="2" spans="1:12" ht="21.75" customHeight="1" thickBot="1">
      <c r="A2" s="3132" t="str">
        <f>项目基本情况!S2</f>
        <v xml:space="preserve"> 海南省海口市出让国有建设用地使用权及在建建筑物房地产</v>
      </c>
      <c r="B2" s="3133"/>
      <c r="C2" s="3133"/>
      <c r="D2" s="3133"/>
      <c r="E2" s="3133"/>
      <c r="F2" s="3133"/>
      <c r="G2" s="3133"/>
      <c r="H2" s="3133"/>
      <c r="I2" s="3134"/>
    </row>
    <row r="3" spans="1:12" ht="13.2">
      <c r="A3" s="3135" t="s">
        <v>2120</v>
      </c>
      <c r="B3" s="3136"/>
      <c r="C3" s="3136"/>
      <c r="D3" s="3136"/>
      <c r="E3" s="3136"/>
      <c r="F3" s="3136"/>
      <c r="G3" s="3136"/>
      <c r="H3" s="3136"/>
      <c r="I3" s="3136"/>
    </row>
    <row r="4" spans="1:12" ht="14.4">
      <c r="A4" s="2428" t="s">
        <v>2121</v>
      </c>
      <c r="B4" s="2429" t="s">
        <v>2122</v>
      </c>
      <c r="C4" s="2430" t="s">
        <v>3374</v>
      </c>
      <c r="D4" s="2430" t="s">
        <v>3375</v>
      </c>
      <c r="E4" s="3116" t="s">
        <v>2123</v>
      </c>
      <c r="F4" s="3129"/>
      <c r="G4" s="3129"/>
      <c r="H4" s="3129"/>
      <c r="I4" s="311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107" t="s">
        <v>2124</v>
      </c>
      <c r="B5" s="3033">
        <v>25</v>
      </c>
      <c r="C5" s="3137"/>
      <c r="D5" s="3125"/>
      <c r="E5" s="140" t="s">
        <v>2125</v>
      </c>
      <c r="F5" s="2432"/>
      <c r="G5" s="2432"/>
      <c r="H5" s="2432"/>
      <c r="I5" s="1832"/>
    </row>
    <row r="6" spans="1:12" ht="13.2">
      <c r="A6" s="3107"/>
      <c r="B6" s="3033"/>
      <c r="C6" s="3139"/>
      <c r="D6" s="3125"/>
      <c r="E6" s="140" t="s">
        <v>2126</v>
      </c>
      <c r="F6" s="2432"/>
      <c r="G6" s="2432"/>
      <c r="H6" s="2432"/>
      <c r="I6" s="1832"/>
    </row>
    <row r="7" spans="1:12" ht="13.2">
      <c r="A7" s="3107"/>
      <c r="B7" s="3033"/>
      <c r="C7" s="3138"/>
      <c r="D7" s="3125"/>
      <c r="E7" s="140" t="s">
        <v>2127</v>
      </c>
      <c r="F7" s="2432"/>
      <c r="G7" s="2432"/>
      <c r="H7" s="2432"/>
      <c r="I7" s="1832"/>
    </row>
    <row r="8" spans="1:12" ht="13.2">
      <c r="A8" s="3107" t="s">
        <v>2128</v>
      </c>
      <c r="B8" s="3033">
        <v>15</v>
      </c>
      <c r="C8" s="3137"/>
      <c r="D8" s="3125"/>
      <c r="E8" s="140" t="s">
        <v>2129</v>
      </c>
      <c r="F8" s="2432"/>
      <c r="G8" s="2432"/>
      <c r="H8" s="2432"/>
      <c r="I8" s="1832"/>
    </row>
    <row r="9" spans="1:12" ht="13.2">
      <c r="A9" s="3107"/>
      <c r="B9" s="3033"/>
      <c r="C9" s="3138"/>
      <c r="D9" s="3125"/>
      <c r="E9" s="140" t="s">
        <v>2130</v>
      </c>
      <c r="F9" s="2432"/>
      <c r="G9" s="2432"/>
      <c r="H9" s="2432"/>
      <c r="I9" s="1832"/>
    </row>
    <row r="10" spans="1:12" ht="13.2">
      <c r="A10" s="3107" t="s">
        <v>2131</v>
      </c>
      <c r="B10" s="3033">
        <v>15</v>
      </c>
      <c r="C10" s="3137"/>
      <c r="D10" s="3125"/>
      <c r="E10" s="140" t="s">
        <v>2132</v>
      </c>
      <c r="F10" s="2432"/>
      <c r="G10" s="2432"/>
      <c r="H10" s="2432"/>
      <c r="I10" s="1832"/>
    </row>
    <row r="11" spans="1:12" ht="13.2">
      <c r="A11" s="3107"/>
      <c r="B11" s="3033"/>
      <c r="C11" s="3138"/>
      <c r="D11" s="3125"/>
      <c r="E11" s="140" t="s">
        <v>2133</v>
      </c>
      <c r="F11" s="2432"/>
      <c r="G11" s="2432"/>
      <c r="H11" s="2432"/>
      <c r="I11" s="1832"/>
    </row>
    <row r="12" spans="1:12" ht="13.2">
      <c r="A12" s="3107" t="s">
        <v>2134</v>
      </c>
      <c r="B12" s="3033">
        <v>15</v>
      </c>
      <c r="C12" s="3137"/>
      <c r="D12" s="3125"/>
      <c r="E12" s="140" t="s">
        <v>2135</v>
      </c>
      <c r="F12" s="2432"/>
      <c r="G12" s="2432"/>
      <c r="H12" s="2432"/>
      <c r="I12" s="1832"/>
    </row>
    <row r="13" spans="1:12" ht="13.2">
      <c r="A13" s="3107"/>
      <c r="B13" s="3033"/>
      <c r="C13" s="3138"/>
      <c r="D13" s="3125"/>
      <c r="E13" s="140" t="s">
        <v>2136</v>
      </c>
      <c r="F13" s="2432"/>
      <c r="G13" s="2432"/>
      <c r="H13" s="2432"/>
      <c r="I13" s="1832"/>
    </row>
    <row r="14" spans="1:12" ht="13.2">
      <c r="A14" s="3107" t="s">
        <v>2137</v>
      </c>
      <c r="B14" s="3033">
        <v>30</v>
      </c>
      <c r="C14" s="3137">
        <v>50</v>
      </c>
      <c r="D14" s="3125">
        <v>50</v>
      </c>
      <c r="E14" s="140" t="s">
        <v>2138</v>
      </c>
      <c r="F14" s="2432"/>
      <c r="G14" s="2432"/>
      <c r="H14" s="2432"/>
      <c r="I14" s="1832"/>
    </row>
    <row r="15" spans="1:12" ht="13.2">
      <c r="A15" s="3107"/>
      <c r="B15" s="3033"/>
      <c r="C15" s="3139"/>
      <c r="D15" s="3125"/>
      <c r="E15" s="140" t="s">
        <v>2139</v>
      </c>
      <c r="F15" s="2432"/>
      <c r="G15" s="2432"/>
      <c r="H15" s="2432"/>
      <c r="I15" s="1832"/>
    </row>
    <row r="16" spans="1:12" ht="13.2">
      <c r="A16" s="3107"/>
      <c r="B16" s="3033"/>
      <c r="C16" s="3138"/>
      <c r="D16" s="3125"/>
      <c r="E16" s="140" t="s">
        <v>2140</v>
      </c>
      <c r="F16" s="2432"/>
      <c r="G16" s="2432"/>
      <c r="H16" s="2432"/>
      <c r="I16" s="1832"/>
    </row>
    <row r="17" spans="1:35" ht="14.4">
      <c r="A17" s="2433" t="s">
        <v>2141</v>
      </c>
      <c r="B17" s="64"/>
      <c r="C17" s="141">
        <f>SUM(C5:C16)</f>
        <v>50</v>
      </c>
      <c r="D17" s="141">
        <f>SUM(D5:D16)</f>
        <v>50</v>
      </c>
      <c r="E17" s="138"/>
      <c r="F17" s="138"/>
      <c r="G17" s="138"/>
      <c r="H17" s="138"/>
      <c r="I17" s="138"/>
      <c r="K17" s="2431"/>
      <c r="L17" s="2434" t="s">
        <v>2142</v>
      </c>
      <c r="M17" s="2434" t="s">
        <v>2143</v>
      </c>
    </row>
    <row r="18" spans="1:35" ht="1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138723.22</v>
      </c>
      <c r="M18" s="2431">
        <f>IF(C1="",'数据-汇总表'!E3,SUMIF(项目类型,C1,'数据-汇总表'!E17:E26))</f>
        <v>138723.22</v>
      </c>
    </row>
    <row r="19" spans="1:35" ht="14.4">
      <c r="A19" s="2437" t="s">
        <v>2146</v>
      </c>
      <c r="B19" s="2438" t="s">
        <v>2147</v>
      </c>
      <c r="C19" s="143">
        <f ca="1">SUMIF(INDIRECT("'"&amp;C4&amp;"'"&amp;"!A:A"),结果表!B19,INDIRECT("'"&amp;C4&amp;"'"&amp;"!B:B"))</f>
        <v>194178</v>
      </c>
      <c r="D19" s="144">
        <f ca="1">SUMIF(INDIRECT("'"&amp;D4&amp;"'"&amp;"!A:A"),结果表!B19,INDIRECT("'"&amp;D4&amp;"'"&amp;"!B:B"))</f>
        <v>166637</v>
      </c>
      <c r="E19" s="2437" t="s">
        <v>2148</v>
      </c>
      <c r="F19" s="2438" t="s">
        <v>2147</v>
      </c>
      <c r="G19" s="145">
        <f ca="1">ROUND(C19*$C$18+D19*$D$18,0)</f>
        <v>180408</v>
      </c>
      <c r="H19" s="2439" t="s">
        <v>2149</v>
      </c>
      <c r="I19" s="138"/>
      <c r="K19" s="2431" t="s">
        <v>2150</v>
      </c>
      <c r="L19" s="2431">
        <f>IF(C1="",'数据-汇总表'!D3,SUMIF(项目类型,C1,'数据-汇总表'!D17:D26)+SUMIF(项目类型,C1,'数据-汇总表'!H17:H27))</f>
        <v>3794.16</v>
      </c>
      <c r="M19" s="2431">
        <f>IF(C1="",'数据-汇总表'!D3,SUMIF(项目类型,C1,'数据-汇总表'!D17:D26))</f>
        <v>3794.16</v>
      </c>
    </row>
    <row r="20" spans="1:35" ht="14.4">
      <c r="A20" s="2440"/>
      <c r="B20" s="1250" t="s">
        <v>2151</v>
      </c>
      <c r="C20" s="146">
        <f ca="1">SUMIF(INDIRECT("'"&amp;C4&amp;"'"&amp;"!A:A"),结果表!B20,INDIRECT("'"&amp;C4&amp;"'"&amp;"!B:B"))</f>
        <v>13998</v>
      </c>
      <c r="D20" s="147">
        <f ca="1">SUMIF(INDIRECT("'"&amp;D4&amp;"'"&amp;"!A:A"),结果表!B20,INDIRECT("'"&amp;D4&amp;"'"&amp;"!B:B"))</f>
        <v>12012</v>
      </c>
      <c r="E20" s="2440"/>
      <c r="F20" s="1250" t="s">
        <v>2151</v>
      </c>
      <c r="G20" s="148">
        <f ca="1">ROUND(C20*$C$18+D20*$D$18,0)</f>
        <v>13005</v>
      </c>
      <c r="H20" s="983" t="s">
        <v>2152</v>
      </c>
      <c r="I20" s="138"/>
    </row>
    <row r="21" spans="1:35" ht="15" customHeight="1" thickBot="1">
      <c r="A21" s="1003"/>
      <c r="B21" s="2441" t="s">
        <v>2153</v>
      </c>
      <c r="C21" s="789">
        <f ca="1">ROUND(C19*10000/L19,0)</f>
        <v>511781</v>
      </c>
      <c r="D21" s="790">
        <f ca="1">ROUND(D19*10000/L19,0)</f>
        <v>439193</v>
      </c>
      <c r="E21" s="1003"/>
      <c r="F21" s="2441" t="s">
        <v>2153</v>
      </c>
      <c r="G21" s="149">
        <f ca="1">ROUND(G19*10000/L19,0)</f>
        <v>475489</v>
      </c>
      <c r="H21" s="2442" t="s">
        <v>2152</v>
      </c>
      <c r="I21" s="138"/>
    </row>
    <row r="22" spans="1:35" ht="15" thickBot="1">
      <c r="A22" s="2283" t="s">
        <v>2154</v>
      </c>
      <c r="B22" s="2443"/>
      <c r="C22" s="2444"/>
      <c r="D22" s="791">
        <f ca="1">IF(C19&lt;D19,D19/C19-1,C19/D19-1)</f>
        <v>0.16527541902458642</v>
      </c>
      <c r="E22" s="138"/>
      <c r="F22" s="138"/>
      <c r="G22" s="138"/>
      <c r="H22" s="138"/>
      <c r="I22" s="138"/>
    </row>
    <row r="23" spans="1:35" ht="13.8" thickBot="1">
      <c r="A23" s="2421"/>
      <c r="B23" s="2421"/>
      <c r="C23" s="2421"/>
      <c r="D23" s="2421"/>
      <c r="E23" s="138"/>
      <c r="F23" s="138"/>
      <c r="G23" s="138"/>
      <c r="H23" s="138"/>
      <c r="I23" s="138"/>
    </row>
    <row r="24" spans="1:35" ht="14.4">
      <c r="A24" s="3146" t="s">
        <v>2155</v>
      </c>
      <c r="B24" s="2438" t="s">
        <v>2147</v>
      </c>
      <c r="C24" s="145">
        <f>IF(B30=0,0,D30)</f>
        <v>0</v>
      </c>
      <c r="D24" s="2445"/>
      <c r="E24" s="138"/>
      <c r="F24" s="138"/>
      <c r="G24" s="138"/>
      <c r="H24" s="138"/>
      <c r="I24" s="138"/>
    </row>
    <row r="25" spans="1:35" ht="14.4">
      <c r="A25" s="3147"/>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2160</v>
      </c>
      <c r="B30" s="151"/>
      <c r="C30" s="151"/>
      <c r="D30" s="151"/>
      <c r="E30" s="2928" t="s">
        <v>3037</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2161</v>
      </c>
      <c r="B32" s="2451"/>
      <c r="C32" s="153">
        <f ca="1">IF(D32="总价",G19-C24,G20-C25)</f>
        <v>180408</v>
      </c>
      <c r="D32" s="2452" t="s">
        <v>2162</v>
      </c>
      <c r="E32" s="138"/>
      <c r="F32" s="138"/>
      <c r="G32" s="138"/>
      <c r="H32" s="138"/>
      <c r="I32" s="138"/>
    </row>
    <row r="33" spans="1:15" ht="14.4">
      <c r="A33" s="960" t="s">
        <v>2163</v>
      </c>
      <c r="B33" s="2453"/>
      <c r="C33" s="2454" t="s">
        <v>3421</v>
      </c>
      <c r="D33" s="2455" t="s">
        <v>3374</v>
      </c>
      <c r="E33" s="2456" t="s">
        <v>2164</v>
      </c>
      <c r="F33" s="2457" t="str">
        <f>IF(D32="楼面单价","取值（单价）","取值（总价）")</f>
        <v>取值（总价）</v>
      </c>
      <c r="G33" s="138"/>
      <c r="H33" s="138"/>
      <c r="I33" s="138"/>
    </row>
    <row r="34" spans="1:15" ht="14.4">
      <c r="A34" s="2458"/>
      <c r="B34" s="2459" t="s">
        <v>2165</v>
      </c>
      <c r="C34" s="157">
        <f ca="1">IF(C33="自定义",F34,C32-C35)</f>
        <v>48349</v>
      </c>
      <c r="D34" s="1058">
        <f ca="1">IF(C33="自定义",ROUND(C34/C32,3),IF(C33="收益比率",SUMIF(INDIRECT("'"&amp;D33&amp;"'"&amp;"!b:b"),"土地收益比率",INDIRECT("'"&amp;D33&amp;"'"&amp;"!c:c")),SUMIF(INDIRECT("'"&amp;D33&amp;"'"&amp;"!b:b"),"土地成本比率",INDIRECT("'"&amp;D33&amp;"'"&amp;"!c:c"))))</f>
        <v>0.26800000000000002</v>
      </c>
      <c r="E34" s="2460" t="s">
        <v>2166</v>
      </c>
      <c r="F34" s="1737"/>
      <c r="G34" s="138"/>
      <c r="H34" s="138"/>
      <c r="I34" s="138"/>
    </row>
    <row r="35" spans="1:15" ht="15" thickBot="1">
      <c r="A35" s="2461"/>
      <c r="B35" s="2462" t="s">
        <v>2167</v>
      </c>
      <c r="C35" s="1443">
        <f ca="1">IF(C33="自定义",F35,ROUND(C32*D35,0))</f>
        <v>132059</v>
      </c>
      <c r="D35" s="1444">
        <f ca="1">IF(C33="自定义",ROUND(C35/C32,3),IF(C33="收益比率",SUMIF(INDIRECT("'"&amp;D33&amp;"'"&amp;"!b:b"),"建筑物收益比率",INDIRECT("'"&amp;D33&amp;"'"&amp;"!c:c")),SUMIF(INDIRECT("'"&amp;D33&amp;"'"&amp;"!b:b"),"建筑物成本比率",INDIRECT("'"&amp;D33&amp;"'"&amp;"!c:c"))))</f>
        <v>0.73199999999999998</v>
      </c>
      <c r="E35" s="2463" t="s">
        <v>2168</v>
      </c>
      <c r="F35" s="163"/>
      <c r="G35" s="138"/>
      <c r="H35" s="138"/>
      <c r="I35" s="138"/>
    </row>
    <row r="36" spans="1:15" ht="15" thickBot="1">
      <c r="A36" s="3126" t="s">
        <v>2169</v>
      </c>
      <c r="B36" s="2464" t="s">
        <v>2170</v>
      </c>
      <c r="C36" s="154"/>
      <c r="D36" s="2465"/>
      <c r="E36" s="2466"/>
      <c r="F36" s="2467"/>
      <c r="G36" s="138"/>
      <c r="H36" s="138"/>
      <c r="I36" s="138"/>
    </row>
    <row r="37" spans="1:15" ht="15" thickBot="1">
      <c r="A37" s="3127"/>
      <c r="B37" s="2269" t="s">
        <v>2171</v>
      </c>
      <c r="C37" s="156"/>
      <c r="D37" s="1394"/>
      <c r="E37" s="1394"/>
      <c r="F37" s="2467"/>
      <c r="G37" s="138"/>
      <c r="H37" s="138"/>
      <c r="I37" s="138"/>
    </row>
    <row r="38" spans="1:15" ht="15" thickBot="1">
      <c r="A38" s="3128"/>
      <c r="B38" s="2468" t="s">
        <v>2172</v>
      </c>
      <c r="C38" s="727"/>
      <c r="D38" s="2469" t="s">
        <v>2173</v>
      </c>
      <c r="E38" s="1394"/>
      <c r="F38" s="2467"/>
      <c r="G38" s="138"/>
      <c r="H38" s="138"/>
      <c r="I38" s="138"/>
    </row>
    <row r="39" spans="1:15" ht="14.4">
      <c r="A39" s="2440" t="s">
        <v>2174</v>
      </c>
      <c r="B39" s="2470" t="s">
        <v>2175</v>
      </c>
      <c r="C39" s="2471" t="s">
        <v>2176</v>
      </c>
      <c r="D39" s="2471" t="s">
        <v>2177</v>
      </c>
      <c r="E39" s="2472" t="s">
        <v>2178</v>
      </c>
      <c r="F39" s="2467"/>
      <c r="G39" s="138"/>
      <c r="H39" s="138"/>
      <c r="I39" s="138"/>
    </row>
    <row r="40" spans="1:15" ht="13.8">
      <c r="A40" s="2473" t="s">
        <v>2179</v>
      </c>
      <c r="B40" s="158"/>
      <c r="C40" s="159"/>
      <c r="D40" s="159"/>
      <c r="E40" s="160"/>
      <c r="F40" s="2467"/>
      <c r="G40" s="138"/>
      <c r="H40" s="138"/>
      <c r="I40" s="138"/>
    </row>
    <row r="41" spans="1:15" ht="13.8">
      <c r="A41" s="2473" t="s">
        <v>2180</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43" t="s">
        <v>2183</v>
      </c>
      <c r="B45" s="3144"/>
      <c r="C45" s="3145"/>
      <c r="D45" s="164">
        <f ca="1">ROUND(H101*F45,0)</f>
        <v>180408</v>
      </c>
      <c r="E45" s="165" t="s">
        <v>2184</v>
      </c>
      <c r="F45" s="166">
        <v>1</v>
      </c>
      <c r="G45" s="167" t="s">
        <v>2185</v>
      </c>
      <c r="H45" s="138"/>
      <c r="I45" s="138"/>
      <c r="J45" s="3062" t="s">
        <v>2186</v>
      </c>
      <c r="K45" s="3062"/>
      <c r="L45" s="3062"/>
      <c r="M45" s="3062"/>
      <c r="N45" s="3062"/>
      <c r="O45" s="3062"/>
    </row>
    <row r="46" spans="1:15" ht="14.25" customHeight="1">
      <c r="A46" s="3140" t="s">
        <v>2187</v>
      </c>
      <c r="B46" s="3141"/>
      <c r="C46" s="3141"/>
      <c r="D46" s="3141"/>
      <c r="E46" s="3141"/>
      <c r="F46" s="3141"/>
      <c r="G46" s="3142"/>
      <c r="H46" s="2483"/>
      <c r="I46" s="168"/>
      <c r="J46" s="1810">
        <v>1</v>
      </c>
      <c r="K46" s="3062" t="s">
        <v>2188</v>
      </c>
      <c r="L46" s="3062"/>
      <c r="M46" s="3063"/>
      <c r="N46" s="3063"/>
      <c r="O46" s="3063"/>
    </row>
    <row r="47" spans="1:15" ht="12" customHeight="1">
      <c r="A47" s="169" t="s">
        <v>2189</v>
      </c>
      <c r="B47" s="170"/>
      <c r="C47" s="171"/>
      <c r="D47" s="172" t="s">
        <v>2190</v>
      </c>
      <c r="E47" s="24" t="s">
        <v>2191</v>
      </c>
      <c r="F47" s="173" t="s">
        <v>2192</v>
      </c>
      <c r="G47" s="174" t="s">
        <v>2193</v>
      </c>
      <c r="H47" s="2483"/>
      <c r="I47" s="168"/>
      <c r="J47" s="1810">
        <v>2</v>
      </c>
      <c r="K47" s="3062" t="s">
        <v>2194</v>
      </c>
      <c r="L47" s="3062"/>
      <c r="M47" s="3064">
        <f>'数据-取费表'!B2</f>
        <v>43488</v>
      </c>
      <c r="N47" s="3064"/>
      <c r="O47" s="3064"/>
    </row>
    <row r="48" spans="1:15" ht="39.6">
      <c r="A48" s="3130" t="s">
        <v>2195</v>
      </c>
      <c r="B48" s="3131"/>
      <c r="C48" s="3131"/>
      <c r="D48" s="140">
        <f ca="1">IF(H48="情况1",0,IF(H48="情况2",D52,IF(H48="情况3",D53,IF(H48="情况4",D54))))</f>
        <v>9622</v>
      </c>
      <c r="E48" s="1799" t="str">
        <f>IF(H48="情况4","(销售额-原购置价)×税（费）率","销售额×税（费）率")</f>
        <v>(销售额-原购置价)×税（费）率</v>
      </c>
      <c r="F48" s="175">
        <f>IF(H48="情况1","免征",'数据-取费表'!B41)</f>
        <v>5.6000000000000001E-2</v>
      </c>
      <c r="G48" s="2484" t="s">
        <v>2196</v>
      </c>
      <c r="H48" s="2485" t="s">
        <v>3422</v>
      </c>
      <c r="I48" s="2483"/>
      <c r="J48" s="1810">
        <v>3</v>
      </c>
      <c r="K48" s="3062" t="s">
        <v>2197</v>
      </c>
      <c r="L48" s="3062"/>
      <c r="M48" s="3065">
        <f ca="1">H101</f>
        <v>180408</v>
      </c>
      <c r="N48" s="3065"/>
      <c r="O48" s="3065"/>
    </row>
    <row r="49" spans="1:35" ht="25.5" customHeight="1">
      <c r="A49" s="176" t="s">
        <v>2198</v>
      </c>
      <c r="B49" s="3110" t="s">
        <v>2199</v>
      </c>
      <c r="C49" s="3110"/>
      <c r="D49" s="177">
        <v>0</v>
      </c>
      <c r="E49" s="23" t="s">
        <v>2200</v>
      </c>
      <c r="F49" s="28" t="s">
        <v>34</v>
      </c>
      <c r="G49" s="3091"/>
      <c r="H49" s="138"/>
      <c r="I49" s="2486"/>
      <c r="J49" s="1810">
        <v>4</v>
      </c>
      <c r="K49" s="3062" t="str">
        <f>IF(项目基本情况!E8="房地产抵押价值","房地产抵押价值","抵押担保权已注销时的房地产抵押价值")</f>
        <v>抵押担保权已注销时的房地产抵押价值</v>
      </c>
      <c r="L49" s="3062"/>
      <c r="M49" s="3065" t="str">
        <f>IF(项目基本情况!E8="房地产抵押价值",H107,H109)</f>
        <v>——</v>
      </c>
      <c r="N49" s="3065"/>
      <c r="O49" s="3065"/>
    </row>
    <row r="50" spans="1:35" ht="25.5" customHeight="1">
      <c r="A50" s="178"/>
      <c r="B50" s="3110" t="s">
        <v>2201</v>
      </c>
      <c r="C50" s="3110"/>
      <c r="D50" s="179"/>
      <c r="E50" s="31"/>
      <c r="F50" s="180"/>
      <c r="G50" s="3092"/>
      <c r="H50" s="138"/>
      <c r="I50" s="2486"/>
      <c r="J50" s="3062" t="s">
        <v>2202</v>
      </c>
      <c r="K50" s="3062"/>
      <c r="L50" s="3062"/>
      <c r="M50" s="3062"/>
      <c r="N50" s="3062"/>
      <c r="O50" s="3062"/>
    </row>
    <row r="51" spans="1:35" ht="12" customHeight="1">
      <c r="A51" s="181"/>
      <c r="B51" s="3110" t="s">
        <v>2203</v>
      </c>
      <c r="C51" s="3110"/>
      <c r="D51" s="182"/>
      <c r="E51" s="30"/>
      <c r="F51" s="180"/>
      <c r="G51" s="3093"/>
      <c r="H51" s="138"/>
      <c r="I51" s="2486"/>
      <c r="J51" s="2487" t="s">
        <v>2204</v>
      </c>
      <c r="K51" s="3062" t="s">
        <v>2205</v>
      </c>
      <c r="L51" s="3062"/>
      <c r="M51" s="2487" t="s">
        <v>2206</v>
      </c>
      <c r="N51" s="2487" t="s">
        <v>2207</v>
      </c>
      <c r="O51" s="2487" t="s">
        <v>2208</v>
      </c>
    </row>
    <row r="52" spans="1:35" ht="24" customHeight="1">
      <c r="A52" s="183" t="s">
        <v>2209</v>
      </c>
      <c r="B52" s="3110" t="s">
        <v>2210</v>
      </c>
      <c r="C52" s="3110"/>
      <c r="D52" s="182">
        <f ca="1">ROUND(D45*'数据-取费表'!B41/(1+'数据-取费表'!C42),0)</f>
        <v>9622</v>
      </c>
      <c r="E52" s="11" t="s">
        <v>2211</v>
      </c>
      <c r="F52" s="184">
        <f>'数据-取费表'!B41</f>
        <v>5.6000000000000001E-2</v>
      </c>
      <c r="G52" s="2488"/>
      <c r="H52" s="138"/>
      <c r="I52" s="2486"/>
      <c r="J52" s="1810">
        <v>1</v>
      </c>
      <c r="K52" s="3085" t="s">
        <v>2212</v>
      </c>
      <c r="L52" s="3085"/>
      <c r="M52" s="1752">
        <f ca="1">D48</f>
        <v>9622</v>
      </c>
      <c r="N52" s="1810" t="str">
        <f>E48</f>
        <v>(销售额-原购置价)×税（费）率</v>
      </c>
      <c r="O52" s="1753">
        <f>F48</f>
        <v>5.6000000000000001E-2</v>
      </c>
    </row>
    <row r="53" spans="1:35" ht="12" customHeight="1">
      <c r="A53" s="183" t="s">
        <v>2213</v>
      </c>
      <c r="B53" s="3111" t="s">
        <v>2214</v>
      </c>
      <c r="C53" s="3112"/>
      <c r="D53" s="182">
        <f ca="1">ROUND(D45*'数据-取费表'!B41/(1+'数据-取费表'!C42),0)</f>
        <v>9622</v>
      </c>
      <c r="E53" s="11" t="s">
        <v>2211</v>
      </c>
      <c r="F53" s="184">
        <f>'数据-取费表'!B41</f>
        <v>5.6000000000000001E-2</v>
      </c>
      <c r="G53" s="2488"/>
      <c r="H53" s="138"/>
      <c r="I53" s="2486"/>
      <c r="J53" s="1810">
        <v>2</v>
      </c>
      <c r="K53" s="3085" t="s">
        <v>2215</v>
      </c>
      <c r="L53" s="3085"/>
      <c r="M53" s="1752">
        <f t="shared" ref="M53:O54" ca="1" si="0">D55</f>
        <v>90</v>
      </c>
      <c r="N53" s="1810" t="str">
        <f t="shared" si="0"/>
        <v>销售额×税（费）率</v>
      </c>
      <c r="O53" s="1753">
        <f t="shared" si="0"/>
        <v>5.0000000000000001E-4</v>
      </c>
    </row>
    <row r="54" spans="1:35" ht="12" customHeight="1">
      <c r="A54" s="183" t="s">
        <v>2216</v>
      </c>
      <c r="B54" s="3111" t="s">
        <v>2217</v>
      </c>
      <c r="C54" s="3112"/>
      <c r="D54" s="182">
        <f ca="1">C68</f>
        <v>9622</v>
      </c>
      <c r="E54" s="30" t="s">
        <v>2218</v>
      </c>
      <c r="F54" s="184">
        <f>'数据-取费表'!B41</f>
        <v>5.6000000000000001E-2</v>
      </c>
      <c r="G54" s="2488"/>
      <c r="H54" s="2489"/>
      <c r="I54" s="2486"/>
      <c r="J54" s="1810">
        <v>3</v>
      </c>
      <c r="K54" s="3085" t="s">
        <v>2219</v>
      </c>
      <c r="L54" s="3085"/>
      <c r="M54" s="1752">
        <f t="shared" ca="1" si="0"/>
        <v>102111</v>
      </c>
      <c r="N54" s="1810" t="str">
        <f t="shared" si="0"/>
        <v>增值额×税（费）率</v>
      </c>
      <c r="O54" s="1754" t="str">
        <f t="shared" si="0"/>
        <v>——</v>
      </c>
    </row>
    <row r="55" spans="1:35" ht="24" customHeight="1">
      <c r="A55" s="3149" t="s">
        <v>2220</v>
      </c>
      <c r="B55" s="3131"/>
      <c r="C55" s="3131"/>
      <c r="D55" s="185">
        <f ca="1">IF(H55="个人住宅",0,ROUND(D45*I55,0))</f>
        <v>90</v>
      </c>
      <c r="E55" s="11" t="s">
        <v>2221</v>
      </c>
      <c r="F55" s="184">
        <f>IF(H55="正常",I55,"免征")</f>
        <v>5.0000000000000001E-4</v>
      </c>
      <c r="G55" s="2488"/>
      <c r="H55" s="2485" t="s">
        <v>2222</v>
      </c>
      <c r="I55" s="186">
        <f>'数据-取费表'!B49</f>
        <v>5.0000000000000001E-4</v>
      </c>
      <c r="J55" s="1810" t="str">
        <f>IF(H59="非个人房产","",4)</f>
        <v/>
      </c>
      <c r="K55" s="3085" t="str">
        <f>IF(H59="非个人房产","——","个人所得税")</f>
        <v>——</v>
      </c>
      <c r="L55" s="3085"/>
      <c r="M55" s="1755" t="str">
        <f>D59</f>
        <v>——</v>
      </c>
      <c r="N55" s="1808" t="str">
        <f>E59</f>
        <v>——</v>
      </c>
      <c r="O55" s="1756" t="str">
        <f>F59</f>
        <v>——</v>
      </c>
    </row>
    <row r="56" spans="1:35" ht="25.2">
      <c r="A56" s="3149" t="s">
        <v>2223</v>
      </c>
      <c r="B56" s="3131"/>
      <c r="C56" s="3131"/>
      <c r="D56" s="185">
        <f ca="1">IF(H56="个人住宅",D57,D58)</f>
        <v>102111</v>
      </c>
      <c r="E56" s="11" t="s">
        <v>2224</v>
      </c>
      <c r="F56" s="184" t="str">
        <f>IF(H56="正常",F58,"免征")</f>
        <v>——</v>
      </c>
      <c r="G56" s="2490" t="s">
        <v>2225</v>
      </c>
      <c r="H56" s="2491" t="s">
        <v>2222</v>
      </c>
      <c r="I56" s="2492"/>
      <c r="J56" s="1810" t="str">
        <f>IF(项目基本情况!K6="上海银行",IF(J55="",4,J55+1),"")</f>
        <v/>
      </c>
      <c r="K56" s="3068" t="str">
        <f>IF(项目基本情况!K6="上海银行","其他处置费用","")</f>
        <v/>
      </c>
      <c r="L56" s="3069"/>
      <c r="M56" s="1752" t="str">
        <f>IF(项目基本情况!K6="上海银行",M69,"")</f>
        <v/>
      </c>
      <c r="N56" s="3071" t="str">
        <f>IF(项目基本情况!K6="上海银行","包含处置中涉及的律师、诉讼、拍卖、评估等费用","")</f>
        <v/>
      </c>
      <c r="O56" s="3072"/>
    </row>
    <row r="57" spans="1:35" ht="13.2">
      <c r="A57" s="183" t="s">
        <v>2198</v>
      </c>
      <c r="B57" s="3116" t="s">
        <v>2226</v>
      </c>
      <c r="C57" s="3117"/>
      <c r="D57" s="187">
        <v>0</v>
      </c>
      <c r="E57" s="23" t="s">
        <v>2200</v>
      </c>
      <c r="F57" s="155"/>
      <c r="G57" s="2488"/>
      <c r="H57" s="2492"/>
      <c r="I57" s="2492"/>
      <c r="J57" s="3085">
        <f>IF(AND(J55="",J56=""),4,IF(项目基本情况!K6="上海银行",结果表!J56+1,结果表!J55+1))</f>
        <v>4</v>
      </c>
      <c r="K57" s="3085" t="s">
        <v>2227</v>
      </c>
      <c r="L57" s="2493" t="s">
        <v>2228</v>
      </c>
      <c r="M57" s="1757"/>
      <c r="N57" s="1758">
        <f ca="1">SUMIF(M52:M56,"&lt;9e307")</f>
        <v>111823</v>
      </c>
      <c r="O57" s="2494"/>
      <c r="P57" s="1751" t="e">
        <f ca="1">N57/M49</f>
        <v>#VALUE!</v>
      </c>
    </row>
    <row r="58" spans="1:35" ht="25.2">
      <c r="A58" s="183" t="s">
        <v>2209</v>
      </c>
      <c r="B58" s="3116" t="s">
        <v>2229</v>
      </c>
      <c r="C58" s="3129"/>
      <c r="D58" s="185">
        <f ca="1">IF(H58="转让取得",C81,C97)</f>
        <v>102111</v>
      </c>
      <c r="E58" s="11" t="s">
        <v>2224</v>
      </c>
      <c r="F58" s="24" t="s">
        <v>34</v>
      </c>
      <c r="G58" s="2488"/>
      <c r="H58" s="2491" t="s">
        <v>2230</v>
      </c>
      <c r="I58" s="2492"/>
      <c r="J58" s="3085"/>
      <c r="K58" s="3085"/>
      <c r="L58" s="2493" t="s">
        <v>2231</v>
      </c>
      <c r="M58" s="1759"/>
      <c r="N58" s="2495" t="str">
        <f ca="1">NUMBERSTRING(INT(N57*10000),2)&amp;"元整"</f>
        <v>壹拾壹亿壹仟捌佰贰拾叁万元整</v>
      </c>
      <c r="O58" s="2496"/>
    </row>
    <row r="59" spans="1:35" ht="24.6" thickBot="1">
      <c r="A59" s="3089" t="s">
        <v>2232</v>
      </c>
      <c r="B59" s="3090"/>
      <c r="C59" s="309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087">
        <f>J57+1</f>
        <v>5</v>
      </c>
      <c r="K59" s="3085" t="s">
        <v>2234</v>
      </c>
      <c r="L59" s="1810" t="s">
        <v>2228</v>
      </c>
      <c r="M59" s="1760"/>
      <c r="N59" s="1761" t="e">
        <f ca="1">M49-N57</f>
        <v>#VALUE!</v>
      </c>
      <c r="O59" s="2498"/>
    </row>
    <row r="60" spans="1:35" ht="12" customHeight="1">
      <c r="A60" s="2499"/>
      <c r="B60" s="2421"/>
      <c r="C60" s="2421"/>
      <c r="D60" s="2421"/>
      <c r="E60" s="2168"/>
      <c r="F60" s="2492"/>
      <c r="G60" s="2492"/>
      <c r="H60" s="2500"/>
      <c r="I60" s="138"/>
      <c r="J60" s="3088"/>
      <c r="K60" s="3085"/>
      <c r="L60" s="2493" t="s">
        <v>2231</v>
      </c>
      <c r="M60" s="1759"/>
      <c r="N60" s="2495" t="e">
        <f ca="1">NUMBERSTRING(INT(N59*10000),2)&amp;"元整"</f>
        <v>#VALUE!</v>
      </c>
      <c r="O60" s="2496"/>
    </row>
    <row r="61" spans="1:35" ht="13.8" thickBot="1">
      <c r="A61" s="3148" t="s">
        <v>2235</v>
      </c>
      <c r="B61" s="3148"/>
      <c r="C61" s="3148"/>
      <c r="D61" s="3148"/>
      <c r="E61" s="3148"/>
      <c r="F61" s="2492"/>
      <c r="G61" s="2492"/>
      <c r="H61" s="2500"/>
      <c r="I61" s="138"/>
      <c r="J61" s="1810">
        <f>J59+1</f>
        <v>6</v>
      </c>
      <c r="K61" s="3085" t="s">
        <v>2236</v>
      </c>
      <c r="L61" s="3085"/>
      <c r="M61" s="1762"/>
      <c r="N61" s="1763" t="e">
        <f ca="1">ROUND(N59*10000/'数据-汇总表'!E3,0)</f>
        <v>#VALUE!</v>
      </c>
      <c r="O61" s="2501"/>
    </row>
    <row r="62" spans="1:35" ht="13.2">
      <c r="A62" s="3105" t="s">
        <v>2237</v>
      </c>
      <c r="B62" s="3106"/>
      <c r="C62" s="1802"/>
      <c r="D62" s="1802" t="s">
        <v>2238</v>
      </c>
      <c r="E62" s="192" t="s">
        <v>2239</v>
      </c>
      <c r="F62" s="2492"/>
      <c r="G62" s="2492"/>
      <c r="H62" s="2500"/>
      <c r="I62" s="138"/>
    </row>
    <row r="63" spans="1:35" ht="13.2">
      <c r="A63" s="203" t="s">
        <v>775</v>
      </c>
      <c r="B63" s="193" t="s">
        <v>2240</v>
      </c>
      <c r="C63" s="194">
        <f ca="1">ROUND((C64+C65)/(1+'数据-取费表'!C42),0)</f>
        <v>171817</v>
      </c>
      <c r="D63" s="195"/>
      <c r="E63" s="196"/>
      <c r="F63" s="2492"/>
      <c r="G63" s="2492"/>
      <c r="H63" s="2500"/>
      <c r="I63" s="138"/>
      <c r="J63" s="3070" t="s">
        <v>2241</v>
      </c>
      <c r="K63" s="2502" t="s">
        <v>2242</v>
      </c>
      <c r="L63" s="1750" t="e">
        <f>IF(M49&gt;10000,M49*0.5%,IF(AND(M49&gt;1000,M49&lt;=10000),M49*1%,IF(AND(M49&gt;100,M49&lt;=1000),M49*3%,IF(AND(M49&gt;10,M49&lt;=100),M49*5%,M49*8%))))</f>
        <v>#VALUE!</v>
      </c>
      <c r="M63" s="24" t="e">
        <f>ROUND(L63,1)</f>
        <v>#VALUE!</v>
      </c>
      <c r="Z63" s="2426"/>
      <c r="AI63" s="2427"/>
    </row>
    <row r="64" spans="1:35" ht="14.25" customHeight="1">
      <c r="A64" s="197" t="s">
        <v>770</v>
      </c>
      <c r="B64" s="198" t="s">
        <v>2243</v>
      </c>
      <c r="C64" s="199">
        <f ca="1">D45</f>
        <v>180408</v>
      </c>
      <c r="D64" s="200" t="s">
        <v>32</v>
      </c>
      <c r="E64" s="201"/>
      <c r="F64" s="2492"/>
      <c r="G64" s="2492"/>
      <c r="H64" s="2500"/>
      <c r="I64" s="138"/>
      <c r="J64" s="3070"/>
      <c r="K64" s="2502" t="s">
        <v>2244</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6"/>
      <c r="AI64" s="2427"/>
    </row>
    <row r="65" spans="1:35" ht="14.25" customHeight="1">
      <c r="A65" s="197" t="s">
        <v>771</v>
      </c>
      <c r="B65" s="198" t="s">
        <v>2246</v>
      </c>
      <c r="C65" s="202"/>
      <c r="D65" s="200"/>
      <c r="E65" s="201"/>
      <c r="F65" s="2492"/>
      <c r="G65" s="2492"/>
      <c r="H65" s="2500"/>
      <c r="I65" s="138"/>
      <c r="J65" s="3070"/>
      <c r="K65" s="2502" t="s">
        <v>2247</v>
      </c>
      <c r="L65" s="1750" t="e">
        <f>IF(M49&gt;1000,M49*0.1%,IF(AND(M49&gt;500,M49&lt;=1000),M49*0.5%,IF(AND(M49&gt;50,M49&lt;=500),M49*1%,IF(AND(M49&gt;1,M49&lt;=50),M49*1.5%))))</f>
        <v>#VALUE!</v>
      </c>
      <c r="M65" s="24" t="e">
        <f t="shared" si="1"/>
        <v>#VALUE!</v>
      </c>
      <c r="N65" s="138" t="s">
        <v>2245</v>
      </c>
      <c r="Z65" s="2426"/>
      <c r="AI65" s="2427"/>
    </row>
    <row r="66" spans="1:35" ht="14.25" customHeight="1">
      <c r="A66" s="203" t="s">
        <v>772</v>
      </c>
      <c r="B66" s="204" t="s">
        <v>2248</v>
      </c>
      <c r="C66" s="205"/>
      <c r="D66" s="206" t="s">
        <v>32</v>
      </c>
      <c r="E66" s="1774" t="s">
        <v>1367</v>
      </c>
      <c r="F66" s="2492"/>
      <c r="G66" s="2492"/>
      <c r="H66" s="2500"/>
      <c r="I66" s="138"/>
      <c r="J66" s="3070"/>
      <c r="K66" s="2502" t="s">
        <v>2249</v>
      </c>
      <c r="L66" s="1750" t="e">
        <f>M49*0.5%</f>
        <v>#VALUE!</v>
      </c>
      <c r="M66" s="24" t="e">
        <f>IF(L66&gt;0.5,0.5,ROUND(L66,0))</f>
        <v>#VALUE!</v>
      </c>
      <c r="N66" s="138" t="s">
        <v>2250</v>
      </c>
      <c r="Z66" s="2426"/>
      <c r="AI66" s="2427"/>
    </row>
    <row r="67" spans="1:35" ht="14.25" customHeight="1">
      <c r="A67" s="203" t="s">
        <v>773</v>
      </c>
      <c r="B67" s="204" t="s">
        <v>2251</v>
      </c>
      <c r="C67" s="207">
        <f ca="1">C63-C66</f>
        <v>171817</v>
      </c>
      <c r="D67" s="200" t="s">
        <v>32</v>
      </c>
      <c r="E67" s="201"/>
      <c r="F67" s="2492"/>
      <c r="G67" s="2492"/>
      <c r="H67" s="2500"/>
      <c r="I67" s="138"/>
      <c r="J67" s="3070"/>
      <c r="K67" s="2502" t="s">
        <v>2252</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2253</v>
      </c>
      <c r="C68" s="210">
        <f ca="1">IF(C67&lt;=0,0,ROUND(C67*D68,0))</f>
        <v>9622</v>
      </c>
      <c r="D68" s="211">
        <f>'数据-取费表'!B41</f>
        <v>5.6000000000000001E-2</v>
      </c>
      <c r="E68" s="212"/>
      <c r="F68" s="2492"/>
      <c r="G68" s="2492"/>
      <c r="H68" s="2500"/>
      <c r="I68" s="138"/>
      <c r="J68" s="3070"/>
      <c r="K68" s="2502" t="s">
        <v>2254</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070"/>
      <c r="K69" s="2502" t="s">
        <v>2255</v>
      </c>
      <c r="L69" s="2508"/>
      <c r="M69" s="24" t="e">
        <f>ROUND(SUM(M63:M68),0)</f>
        <v>#VALUE!</v>
      </c>
      <c r="N69" s="1751"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14" t="s">
        <v>2256</v>
      </c>
      <c r="B70" s="3115"/>
      <c r="C70" s="3115"/>
      <c r="D70" s="3115"/>
      <c r="E70" s="3115"/>
      <c r="F70" s="3115"/>
      <c r="G70" s="3115"/>
      <c r="H70" s="311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105" t="s">
        <v>2237</v>
      </c>
      <c r="B71" s="3106"/>
      <c r="C71" s="1802"/>
      <c r="D71" s="1802"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2257</v>
      </c>
      <c r="C72" s="207">
        <f ca="1">ROUND(D45/(1+'数据-取费表'!C42),0)</f>
        <v>171817</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2258</v>
      </c>
      <c r="C73" s="207">
        <f ca="1">C74+C78</f>
        <v>1031</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11" t="s">
        <v>2265</v>
      </c>
      <c r="F76" s="3110"/>
      <c r="G76" s="3110"/>
      <c r="H76" s="311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1031</v>
      </c>
      <c r="D78" s="226">
        <f>'数据-取费表'!B43</f>
        <v>6.000000000000001E-3</v>
      </c>
      <c r="E78" s="3102" t="s">
        <v>2270</v>
      </c>
      <c r="F78" s="3103"/>
      <c r="G78" s="3103"/>
      <c r="H78" s="310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2271</v>
      </c>
      <c r="C79" s="207">
        <f ca="1">C72-C73</f>
        <v>170786</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165.65082444228904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2273</v>
      </c>
      <c r="C81" s="228">
        <f ca="1">ROUND(IF(C79&lt;=0,0,IF(C80&gt;=200%,C79*60%-C73*35%,IF(C80&gt;=100%,C79*50%-C73*15%,IF(C80&gt;=50%,C79*40%-C73*5%,IF(C80&lt;50%,C79*30%,0))))),0)</f>
        <v>102111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14" t="s">
        <v>2274</v>
      </c>
      <c r="B83" s="3115"/>
      <c r="C83" s="3115"/>
      <c r="D83" s="3115"/>
      <c r="E83" s="3115"/>
      <c r="F83" s="3115"/>
      <c r="G83" s="3115"/>
      <c r="H83" s="311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105" t="s">
        <v>2237</v>
      </c>
      <c r="B84" s="3106"/>
      <c r="C84" s="1802"/>
      <c r="D84" s="1802"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2257</v>
      </c>
      <c r="C85" s="207">
        <f ca="1">ROUND(D45/(1+'数据-取费表'!C42),0)</f>
        <v>171817</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2258</v>
      </c>
      <c r="C86" s="207">
        <f ca="1">IF(H88="仅含出让金",C87+C90+C91+C92+C93+C94,C87+C91+C92+C93+C94)</f>
        <v>1031</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2275</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2276</v>
      </c>
      <c r="C88" s="236"/>
      <c r="D88" s="226"/>
      <c r="E88" s="237" t="s">
        <v>2277</v>
      </c>
      <c r="F88" s="1798"/>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2266</v>
      </c>
      <c r="C89" s="225">
        <f>ROUND(C88*D89,0)</f>
        <v>0</v>
      </c>
      <c r="D89" s="226">
        <f>'数据-取费表'!B48+'数据-取费表'!B49</f>
        <v>3.0499999999999999E-2</v>
      </c>
      <c r="E89" s="237" t="s">
        <v>2279</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2280</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02" t="s">
        <v>2283</v>
      </c>
      <c r="F91" s="3103"/>
      <c r="G91" s="3103"/>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02" t="s">
        <v>2287</v>
      </c>
      <c r="F92" s="3103"/>
      <c r="G92" s="3103"/>
      <c r="H92" s="310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1031</v>
      </c>
      <c r="D93" s="226">
        <f>'数据-取费表'!B43</f>
        <v>6.000000000000001E-3</v>
      </c>
      <c r="E93" s="3102" t="s">
        <v>2270</v>
      </c>
      <c r="F93" s="3103"/>
      <c r="G93" s="3103"/>
      <c r="H93" s="310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50" t="s">
        <v>2291</v>
      </c>
      <c r="F94" s="3151"/>
      <c r="G94" s="3151"/>
      <c r="H94" s="315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2271</v>
      </c>
      <c r="C95" s="207">
        <f ca="1">ROUND(C85-C86,0)</f>
        <v>170786</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165.65082444228904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2273</v>
      </c>
      <c r="C97" s="228">
        <f ca="1">ROUND(IF(C95&lt;=0,0,IF(C96&gt;=200%,C95*60%-C86*35%,IF(C96&gt;=100%,C95*50%-C86*15%,IF(C96&gt;=50%,C95*40%-C86*5%,IF(C96&lt;50%,C95*30%,0))))),0)</f>
        <v>102111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54" t="s">
        <v>2293</v>
      </c>
      <c r="B100" s="3055"/>
      <c r="C100" s="3055"/>
      <c r="D100" s="3086"/>
      <c r="E100" s="3055" t="s">
        <v>2294</v>
      </c>
      <c r="F100" s="3055"/>
      <c r="G100" s="3055"/>
      <c r="H100" s="3086"/>
      <c r="I100" s="138"/>
    </row>
    <row r="101" spans="1:35" ht="18.75" customHeight="1">
      <c r="A101" s="3094" t="s">
        <v>2295</v>
      </c>
      <c r="B101" s="3095"/>
      <c r="C101" s="736" t="str">
        <f>C4</f>
        <v>成本法</v>
      </c>
      <c r="D101" s="737" t="str">
        <f>D4</f>
        <v>收益法（汇总）</v>
      </c>
      <c r="E101" s="3066" t="s">
        <v>2296</v>
      </c>
      <c r="F101" s="3067"/>
      <c r="G101" s="2523" t="s">
        <v>2297</v>
      </c>
      <c r="H101" s="1048">
        <f ca="1">H118</f>
        <v>180408</v>
      </c>
      <c r="I101" s="138"/>
    </row>
    <row r="102" spans="1:35" ht="18.75" customHeight="1">
      <c r="A102" s="3096" t="s">
        <v>2298</v>
      </c>
      <c r="B102" s="2523" t="s">
        <v>2297</v>
      </c>
      <c r="C102" s="736">
        <f ca="1">C19</f>
        <v>194178</v>
      </c>
      <c r="D102" s="737">
        <f ca="1">D19</f>
        <v>166637</v>
      </c>
      <c r="E102" s="3066"/>
      <c r="F102" s="3067"/>
      <c r="G102" s="2523" t="s">
        <v>2299</v>
      </c>
      <c r="H102" s="371">
        <f ca="1">I118</f>
        <v>13005</v>
      </c>
      <c r="I102" s="138"/>
    </row>
    <row r="103" spans="1:35" ht="42.75" customHeight="1">
      <c r="A103" s="3096"/>
      <c r="B103" s="2523" t="s">
        <v>2299</v>
      </c>
      <c r="C103" s="738">
        <f ca="1">C20</f>
        <v>13998</v>
      </c>
      <c r="D103" s="739">
        <f ca="1">D20</f>
        <v>12012</v>
      </c>
      <c r="E103" s="3060" t="s">
        <v>2300</v>
      </c>
      <c r="F103" s="3061"/>
      <c r="G103" s="2524" t="s">
        <v>2301</v>
      </c>
      <c r="H103" s="1048">
        <f>IF(D36="正常操作",H104+H105+H106,H105+H106)</f>
        <v>0</v>
      </c>
      <c r="I103" s="138"/>
    </row>
    <row r="104" spans="1:35" ht="18.75" customHeight="1">
      <c r="A104" s="3096" t="s">
        <v>2302</v>
      </c>
      <c r="B104" s="2525" t="s">
        <v>2297</v>
      </c>
      <c r="C104" s="740">
        <f ca="1">H118</f>
        <v>180408</v>
      </c>
      <c r="D104" s="741"/>
      <c r="E104" s="2269" t="s">
        <v>2303</v>
      </c>
      <c r="F104" s="2260"/>
      <c r="G104" s="2524" t="s">
        <v>2301</v>
      </c>
      <c r="H104" s="1049">
        <f>IF(D36="同一抵押权人同一抵押物续贷",C36&amp;"（未扣减，详见特别提示）",C36)</f>
        <v>0</v>
      </c>
      <c r="I104" s="138"/>
    </row>
    <row r="105" spans="1:35" ht="18.75" customHeight="1" thickBot="1">
      <c r="A105" s="3108"/>
      <c r="B105" s="2526" t="s">
        <v>2299</v>
      </c>
      <c r="C105" s="742">
        <f ca="1">I118</f>
        <v>13005</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097" t="str">
        <f>IF(项目基本情况!E8="已注销","——","3.房地产抵押价值")</f>
        <v>3.房地产抵押价值</v>
      </c>
      <c r="F107" s="3067"/>
      <c r="G107" s="2523" t="s">
        <v>2297</v>
      </c>
      <c r="H107" s="1048">
        <f ca="1">IF(E107="——","——",H101-H103)</f>
        <v>180408</v>
      </c>
      <c r="I107" s="138"/>
    </row>
    <row r="108" spans="1:35" ht="18.75" customHeight="1">
      <c r="A108" s="138"/>
      <c r="B108" s="138"/>
      <c r="C108" s="138"/>
      <c r="D108" s="138"/>
      <c r="E108" s="3097"/>
      <c r="F108" s="3067"/>
      <c r="G108" s="2523" t="s">
        <v>2299</v>
      </c>
      <c r="H108" s="371">
        <f ca="1">ROUND(H107*10000/'数据-汇总表'!E3,0)</f>
        <v>13005</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3" t="s">
        <v>2297</v>
      </c>
      <c r="H109" s="348" t="str">
        <f>IF(E109="——","——",H101-H105-H106)</f>
        <v>——</v>
      </c>
      <c r="I109" s="138"/>
    </row>
    <row r="110" spans="1:35" ht="18.75" customHeight="1">
      <c r="A110" s="138"/>
      <c r="B110" s="138"/>
      <c r="C110" s="138"/>
      <c r="D110" s="138"/>
      <c r="E110" s="3097"/>
      <c r="F110" s="3067"/>
      <c r="G110" s="2523" t="s">
        <v>2299</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3" t="s">
        <v>2297</v>
      </c>
      <c r="H111" s="1048" t="str">
        <f>IF(E111="——","——",N59)</f>
        <v>——</v>
      </c>
      <c r="I111" s="138"/>
    </row>
    <row r="112" spans="1:35" ht="18.75" customHeight="1" thickBot="1">
      <c r="A112" s="138"/>
      <c r="B112" s="138"/>
      <c r="C112" s="138"/>
      <c r="D112" s="138"/>
      <c r="E112" s="3100"/>
      <c r="F112" s="3101"/>
      <c r="G112" s="2528" t="s">
        <v>2299</v>
      </c>
      <c r="H112" s="790" t="str">
        <f>IF(E111="——","——",N61)</f>
        <v>——</v>
      </c>
      <c r="I112" s="138"/>
    </row>
    <row r="113" spans="1:11" ht="18.75" customHeight="1">
      <c r="A113" s="138"/>
      <c r="B113" s="138"/>
      <c r="C113" s="138"/>
      <c r="D113" s="138"/>
      <c r="E113" s="3109" t="s">
        <v>2305</v>
      </c>
      <c r="F113" s="3109"/>
      <c r="G113" s="3109"/>
      <c r="H113" s="3109"/>
      <c r="I113" s="138"/>
    </row>
    <row r="114" spans="1:11" ht="3.75" customHeight="1">
      <c r="A114" s="2421"/>
      <c r="B114" s="2421"/>
      <c r="C114" s="2421"/>
      <c r="D114" s="2421"/>
      <c r="E114" s="2499"/>
      <c r="F114" s="2499"/>
      <c r="G114" s="2499"/>
      <c r="H114" s="2499"/>
      <c r="I114" s="2421"/>
    </row>
    <row r="115" spans="1:11" ht="18.75" customHeight="1">
      <c r="A115" s="3122" t="s">
        <v>2307</v>
      </c>
      <c r="B115" s="3123"/>
      <c r="C115" s="3123"/>
      <c r="D115" s="3123"/>
      <c r="E115" s="3123"/>
      <c r="F115" s="3123"/>
      <c r="G115" s="3123"/>
      <c r="H115" s="3123"/>
      <c r="I115" s="3124"/>
    </row>
    <row r="116" spans="1:11" ht="27" customHeight="1">
      <c r="A116" s="3033" t="s">
        <v>2308</v>
      </c>
      <c r="B116" s="3076" t="s">
        <v>2309</v>
      </c>
      <c r="C116" s="3076" t="s">
        <v>2310</v>
      </c>
      <c r="D116" s="3082" t="s">
        <v>2311</v>
      </c>
      <c r="E116" s="3083"/>
      <c r="F116" s="3118" t="s">
        <v>2312</v>
      </c>
      <c r="G116" s="3118"/>
      <c r="H116" s="3033" t="s">
        <v>2313</v>
      </c>
      <c r="I116" s="3033"/>
    </row>
    <row r="117" spans="1:11" ht="18.75" customHeight="1">
      <c r="A117" s="3033"/>
      <c r="B117" s="3077"/>
      <c r="C117" s="3077"/>
      <c r="D117" s="1796" t="s">
        <v>2314</v>
      </c>
      <c r="E117" s="1796" t="s">
        <v>2315</v>
      </c>
      <c r="F117" s="1796" t="s">
        <v>2314</v>
      </c>
      <c r="G117" s="1796" t="s">
        <v>2316</v>
      </c>
      <c r="H117" s="1796" t="s">
        <v>2314</v>
      </c>
      <c r="I117" s="1796" t="s">
        <v>2316</v>
      </c>
    </row>
    <row r="118" spans="1:11" ht="24.75" customHeight="1">
      <c r="A118" s="2529" t="str">
        <f>项目基本情况!S2</f>
        <v xml:space="preserve"> 海南省海口市出让国有建设用地使用权及在建建筑物房地产</v>
      </c>
      <c r="B118" s="1796">
        <f>M18</f>
        <v>138723.22</v>
      </c>
      <c r="C118" s="1796">
        <f>M19</f>
        <v>3794.16</v>
      </c>
      <c r="D118" s="1796">
        <f ca="1">ROUND(IF(D32="总价",C34,E118*B118/10000),0)</f>
        <v>48349</v>
      </c>
      <c r="E118" s="1796">
        <f ca="1">ROUND(IF(C33="自定义",IF(D32="楼面单价",C34,D118*10000/B118),I118-G118),0)</f>
        <v>3485</v>
      </c>
      <c r="F118" s="1796">
        <f ca="1">ROUND(IF(D32="总价",C35,G118*B118/10000),0)</f>
        <v>132059</v>
      </c>
      <c r="G118" s="1796">
        <f ca="1">ROUND(IF(D32="楼面单价",C35,F118*10000/B118),0)</f>
        <v>9520</v>
      </c>
      <c r="H118" s="1796">
        <f ca="1">ROUND(IF(D32="总价",C32,I118*B118/10000),0)</f>
        <v>180408</v>
      </c>
      <c r="I118" s="1796">
        <f ca="1">ROUND(IF(D32="楼面单价",C32,H118*10000/B118),0)</f>
        <v>13005</v>
      </c>
    </row>
    <row r="119" spans="1:11" ht="30" customHeight="1">
      <c r="A119" s="3033" t="s">
        <v>2317</v>
      </c>
      <c r="B119" s="3033"/>
      <c r="C119" s="3033"/>
      <c r="D119" s="3078" t="str">
        <f ca="1">NUMBERSTRING(INT(D118*10000),2)&amp;"元整"</f>
        <v>肆亿捌仟叁佰肆拾玖万元整</v>
      </c>
      <c r="E119" s="3079"/>
      <c r="F119" s="3078" t="str">
        <f ca="1">NUMBERSTRING(INT(F118*10000),2)&amp;"元整"</f>
        <v>壹拾叁亿贰仟零伍拾玖万元整</v>
      </c>
      <c r="G119" s="3079"/>
      <c r="H119" s="3078" t="str">
        <f ca="1">NUMBERSTRING(INT(H118*10000),2)&amp;"元整"</f>
        <v>壹拾捌亿零肆佰零捌万元整</v>
      </c>
      <c r="I119" s="3079"/>
    </row>
    <row r="120" spans="1:11" ht="18.75" customHeight="1">
      <c r="A120" s="3073" t="str">
        <f>IF(项目基本情况!B9="房地产市场价值","",MID(E103,3,LEN(E103)-2))</f>
        <v/>
      </c>
      <c r="B120" s="3074"/>
      <c r="C120" s="3075"/>
      <c r="D120" s="3073">
        <f>H103</f>
        <v>0</v>
      </c>
      <c r="E120" s="3074"/>
      <c r="F120" s="3074"/>
      <c r="G120" s="3074"/>
      <c r="H120" s="3074"/>
      <c r="I120" s="3075"/>
      <c r="K120" s="2426" t="str">
        <f>IF(D120=0,"故，本次评估不存在"&amp;A120,"故，本次评估"&amp;A120&amp;"为人民币"&amp;D120&amp;"万元整。")</f>
        <v>故，本次评估不存在</v>
      </c>
    </row>
    <row r="121" spans="1:11" ht="18.75" customHeight="1">
      <c r="A121" s="3119" t="s">
        <v>2317</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
      </c>
      <c r="B122" s="3084"/>
      <c r="C122" s="3084"/>
      <c r="D122" s="3073">
        <f ca="1">H107</f>
        <v>180408</v>
      </c>
      <c r="E122" s="3074"/>
      <c r="F122" s="3074"/>
      <c r="G122" s="3074"/>
      <c r="H122" s="3074"/>
      <c r="I122" s="3075"/>
    </row>
    <row r="123" spans="1:11" ht="18.75" customHeight="1">
      <c r="A123" s="3033" t="s">
        <v>2317</v>
      </c>
      <c r="B123" s="3033"/>
      <c r="C123" s="3033"/>
      <c r="D123" s="3078" t="str">
        <f ca="1">NUMBERSTRING(INT(D122*10000),2)&amp;"元整"</f>
        <v>壹拾捌亿零肆佰零捌万元整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2317</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2317</v>
      </c>
      <c r="B127" s="3033"/>
      <c r="C127" s="3033"/>
      <c r="D127" s="3078" t="e">
        <f>NUMBERSTRING(INT(D126*10000),2)&amp;"元整"</f>
        <v>#VALUE!</v>
      </c>
      <c r="E127" s="3080"/>
      <c r="F127" s="3080"/>
      <c r="G127" s="3080"/>
      <c r="H127" s="3080"/>
      <c r="I127" s="3079"/>
    </row>
    <row r="128" spans="1:11" ht="21.75" customHeight="1">
      <c r="A128" s="3081" t="s">
        <v>2318</v>
      </c>
      <c r="B128" s="3081"/>
      <c r="C128" s="3081"/>
      <c r="D128" s="3081"/>
      <c r="E128" s="3081"/>
      <c r="F128" s="3081"/>
      <c r="G128" s="3081"/>
      <c r="H128" s="3081"/>
      <c r="I128" s="3081"/>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7" sqref="L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8"/>
      <c r="C1" s="242"/>
      <c r="D1" s="242"/>
      <c r="E1" s="242"/>
      <c r="F1" s="242"/>
      <c r="G1" s="1382">
        <f>MATCH(B1,'数据-取费表'!A6:A16,0)+5</f>
        <v>8</v>
      </c>
    </row>
    <row r="2" spans="1:9" s="244" customFormat="1" ht="18" customHeight="1">
      <c r="A2" s="245" t="s">
        <v>2327</v>
      </c>
      <c r="B2" s="246">
        <f ca="1">IF(D2="——",C52,C52-E2)</f>
        <v>194178</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13998</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36193</v>
      </c>
      <c r="D5" s="255" t="s">
        <v>2334</v>
      </c>
      <c r="E5" s="256" t="s">
        <v>2335</v>
      </c>
      <c r="F5" s="256" t="s">
        <v>2336</v>
      </c>
      <c r="G5" s="257"/>
    </row>
    <row r="6" spans="1:9" s="258" customFormat="1" ht="13.5" customHeight="1">
      <c r="A6" s="952" t="s">
        <v>2337</v>
      </c>
      <c r="B6" s="259" t="s">
        <v>2338</v>
      </c>
      <c r="C6" s="260">
        <f>'土地比较法-住宅、综合'!B2</f>
        <v>32160</v>
      </c>
      <c r="D6" s="261"/>
      <c r="E6" s="262"/>
      <c r="F6" s="262"/>
      <c r="G6" s="263"/>
    </row>
    <row r="7" spans="1:9" s="258" customFormat="1" ht="13.5" customHeight="1">
      <c r="A7" s="952" t="s">
        <v>2339</v>
      </c>
      <c r="B7" s="259" t="s">
        <v>2340</v>
      </c>
      <c r="C7" s="264">
        <f>ROUND(C6*F7,0)</f>
        <v>981</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3052</v>
      </c>
      <c r="D8" s="266"/>
      <c r="E8" s="264"/>
      <c r="F8" s="265"/>
      <c r="G8" s="2555" t="s">
        <v>3366</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6" t="s">
        <v>3367</v>
      </c>
      <c r="H9" s="2958">
        <f ca="1">C10</f>
        <v>3052</v>
      </c>
      <c r="I9" s="2557" t="s">
        <v>2344</v>
      </c>
    </row>
    <row r="10" spans="1:9" s="258" customFormat="1" ht="13.5" customHeight="1">
      <c r="A10" s="953" t="s">
        <v>801</v>
      </c>
      <c r="B10" s="268" t="s">
        <v>2345</v>
      </c>
      <c r="C10" s="269">
        <f ca="1">ROUND(D10*E10/10000,0)</f>
        <v>3052</v>
      </c>
      <c r="D10" s="1035">
        <f ca="1">IF(B1="",'数据-汇总表'!E6,IF(INDIRECT("'数据-取费表'!c"&amp;$G$1)="住宅",INDIRECT("'数据-取费表'!s"&amp;$G$1),INDIRECT("'数据-取费表'!k"&amp;$G$1)+INDIRECT("'数据-取费表'!s"&amp;$G$1)))</f>
        <v>138723.22</v>
      </c>
      <c r="E10" s="269">
        <f>'数据-取费表'!B28</f>
        <v>220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138723.22</v>
      </c>
      <c r="E19" s="255">
        <f>'数据-取费表'!B31</f>
        <v>200</v>
      </c>
      <c r="F19" s="275"/>
      <c r="G19" s="2555" t="s">
        <v>3368</v>
      </c>
    </row>
    <row r="20" spans="1:7" s="258" customFormat="1" ht="13.5" customHeight="1">
      <c r="A20" s="299" t="s">
        <v>2358</v>
      </c>
      <c r="B20" s="254" t="s">
        <v>2359</v>
      </c>
      <c r="C20" s="276">
        <f>ROUND((C5+C19)*F20,0)</f>
        <v>724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4495</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4452</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43</v>
      </c>
      <c r="D25" s="282"/>
      <c r="E25" s="285"/>
      <c r="F25" s="283"/>
      <c r="G25" s="286" t="s">
        <v>2375</v>
      </c>
    </row>
    <row r="26" spans="1:7" s="258" customFormat="1">
      <c r="A26" s="954" t="s">
        <v>795</v>
      </c>
      <c r="B26" s="259" t="s">
        <v>2376</v>
      </c>
      <c r="C26" s="282">
        <f ca="1">ROUND(IF('数据-取费表'!B22&lt;=1,F21*F22*'数据-取费表'!B23/2,F21*(POWER((1+F22),'数据-取费表'!B23/2)-1)),4)</f>
        <v>1.1999999999999999E-3</v>
      </c>
      <c r="D26" s="282"/>
      <c r="E26" s="285"/>
      <c r="F26" s="283"/>
      <c r="G26" s="287"/>
    </row>
    <row r="27" spans="1:7" s="258" customFormat="1" ht="26.4">
      <c r="A27" s="299" t="s">
        <v>2377</v>
      </c>
      <c r="B27" s="288" t="s">
        <v>2378</v>
      </c>
      <c r="C27" s="289">
        <f ca="1">C28</f>
        <v>6645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ROUND((C5+C19+C20)*F27*'数据-取费表'!B21/'数据-取费表'!B20,0)</f>
        <v>6645</v>
      </c>
      <c r="D28" s="279"/>
      <c r="E28" s="280"/>
      <c r="F28" s="290"/>
      <c r="G28" s="291"/>
    </row>
    <row r="29" spans="1:7" s="258" customFormat="1" ht="13.5" customHeight="1">
      <c r="A29" s="954" t="s">
        <v>792</v>
      </c>
      <c r="B29" s="292" t="s">
        <v>2382</v>
      </c>
      <c r="C29" s="282">
        <f ca="1">ROUND(C21*F27*'数据-取费表'!B21/'数据-取费表'!B20,4)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52128</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103562</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94636</v>
      </c>
      <c r="D34" s="261"/>
      <c r="E34" s="264"/>
      <c r="F34" s="301">
        <f ca="1">IF('数据-取费表'!B24=0,1,IF(B1="",'数据-取费表'!N16,INDIRECT("'数据-取费表'!n"&amp;$G$1)))</f>
        <v>1</v>
      </c>
      <c r="G34" s="263" t="s">
        <v>2391</v>
      </c>
    </row>
    <row r="35" spans="1:7" ht="13.5" customHeight="1">
      <c r="A35" s="954" t="s">
        <v>796</v>
      </c>
      <c r="B35" s="259" t="s">
        <v>2392</v>
      </c>
      <c r="C35" s="264">
        <f ca="1">ROUND(C34*F35,0)</f>
        <v>4732</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2774</v>
      </c>
      <c r="D37" s="261">
        <f ca="1">D19</f>
        <v>138723.22</v>
      </c>
      <c r="E37" s="293">
        <f>'数据-取费表'!B35</f>
        <v>200</v>
      </c>
      <c r="F37" s="303"/>
      <c r="G37" s="305" t="s">
        <v>2397</v>
      </c>
    </row>
    <row r="38" spans="1:7" ht="13.5" customHeight="1">
      <c r="A38" s="954" t="s">
        <v>799</v>
      </c>
      <c r="B38" s="259" t="s">
        <v>2398</v>
      </c>
      <c r="C38" s="264">
        <f ca="1">ROUND(C34*F38,0)</f>
        <v>1420</v>
      </c>
      <c r="D38" s="264"/>
      <c r="E38" s="264"/>
      <c r="F38" s="303">
        <f>'数据-取费表'!B36</f>
        <v>1.4999999999999999E-2</v>
      </c>
      <c r="G38" s="263" t="s">
        <v>2393</v>
      </c>
    </row>
    <row r="39" spans="1:7" s="258" customFormat="1" ht="13.5" customHeight="1">
      <c r="A39" s="299" t="s">
        <v>2399</v>
      </c>
      <c r="B39" s="254" t="s">
        <v>2400</v>
      </c>
      <c r="C39" s="276">
        <f ca="1">ROUND(C33*F20,0)</f>
        <v>2071</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6309</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6185</v>
      </c>
      <c r="D42" s="282"/>
      <c r="E42" s="282"/>
      <c r="F42" s="283"/>
      <c r="G42" s="3153" t="s">
        <v>2409</v>
      </c>
    </row>
    <row r="43" spans="1:7" ht="13.5" customHeight="1">
      <c r="A43" s="954" t="s">
        <v>792</v>
      </c>
      <c r="B43" s="259" t="s">
        <v>2410</v>
      </c>
      <c r="C43" s="282">
        <f ca="1">ROUND(IF('数据-取费表'!B22&lt;=1,C39*F22*'数据-取费表'!B21/2,C39*(POWER((1+F22),'数据-取费表'!B21/2)-1)),0)</f>
        <v>124</v>
      </c>
      <c r="D43" s="282"/>
      <c r="E43" s="282"/>
      <c r="F43" s="283"/>
      <c r="G43" s="3154"/>
    </row>
    <row r="44" spans="1:7" ht="13.5" customHeight="1">
      <c r="A44" s="954" t="s">
        <v>793</v>
      </c>
      <c r="B44" s="259" t="s">
        <v>2411</v>
      </c>
      <c r="C44" s="282">
        <f ca="1">ROUND(IF('数据-取费表'!B22&lt;=1,C40*F22*'数据-取费表'!B21/2,C40*(POWER((1+F22),'数据-取费表'!B21/2)-1)),4)</f>
        <v>1.1999999999999999E-3</v>
      </c>
      <c r="D44" s="282"/>
      <c r="E44" s="282"/>
      <c r="F44" s="283"/>
      <c r="G44" s="3155"/>
    </row>
    <row r="45" spans="1:7" s="258" customFormat="1" ht="13.5" customHeight="1">
      <c r="A45" s="299" t="s">
        <v>2412</v>
      </c>
      <c r="B45" s="288" t="s">
        <v>2378</v>
      </c>
      <c r="C45" s="289">
        <f ca="1">C46</f>
        <v>19014</v>
      </c>
      <c r="D45" s="279">
        <f ca="1">C47</f>
        <v>3.5999999999999999E-3</v>
      </c>
      <c r="E45" s="280" t="s">
        <v>2404</v>
      </c>
      <c r="F45" s="290"/>
      <c r="G45" s="291" t="s">
        <v>2413</v>
      </c>
    </row>
    <row r="46" spans="1:7" s="258" customFormat="1" ht="13.5" customHeight="1">
      <c r="A46" s="954" t="s">
        <v>791</v>
      </c>
      <c r="B46" s="292" t="s">
        <v>2414</v>
      </c>
      <c r="C46" s="293">
        <f ca="1">ROUND((C33+C39)*F27,0)</f>
        <v>19014</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1729">
        <f>ROUND(F30/(1+'数据-取费表'!C42),4)</f>
        <v>5.33E-2</v>
      </c>
      <c r="D48" s="280" t="s">
        <v>2404</v>
      </c>
      <c r="E48" s="276"/>
      <c r="F48" s="281"/>
      <c r="G48" s="278" t="s">
        <v>2417</v>
      </c>
    </row>
    <row r="49" spans="1:7" ht="16.5" customHeight="1">
      <c r="A49" s="299" t="s">
        <v>2383</v>
      </c>
      <c r="B49" s="254" t="s">
        <v>2418</v>
      </c>
      <c r="C49" s="276">
        <f ca="1">ROUND((C33+C39+C41+C45)/(1-C40-D41-D45-C48),0)</f>
        <v>142050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142050</v>
      </c>
      <c r="D51" s="276"/>
      <c r="E51" s="276"/>
      <c r="F51" s="308"/>
      <c r="G51" s="278" t="s">
        <v>2425</v>
      </c>
    </row>
    <row r="52" spans="1:7" s="252" customFormat="1" ht="16.8" thickBot="1">
      <c r="A52" s="309" t="s">
        <v>2426</v>
      </c>
      <c r="B52" s="310"/>
      <c r="C52" s="311">
        <f ca="1">C31+C51</f>
        <v>194178</v>
      </c>
      <c r="D52" s="310"/>
      <c r="E52" s="310"/>
      <c r="F52" s="310"/>
      <c r="G52" s="312"/>
    </row>
    <row r="55" spans="1:7" ht="15">
      <c r="B55" s="314" t="s">
        <v>2427</v>
      </c>
      <c r="C55" s="315"/>
    </row>
    <row r="56" spans="1:7">
      <c r="B56" s="317" t="s">
        <v>1509</v>
      </c>
      <c r="C56" s="319">
        <f ca="1">1-C57</f>
        <v>0.26800000000000002</v>
      </c>
    </row>
    <row r="57" spans="1:7">
      <c r="B57" s="317" t="s">
        <v>1510</v>
      </c>
      <c r="C57" s="318">
        <f ca="1">ROUND(C51/C52,3)</f>
        <v>0.73199999999999998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 xml:space="preserve"> 海南省海口市出让国有建设用地使用权及在建建筑物房地产市场价值预评估</v>
      </c>
      <c r="C37" s="2967"/>
      <c r="D37" s="2967"/>
      <c r="E37" s="2967"/>
      <c r="F37" s="2967"/>
      <c r="G37" s="2967"/>
      <c r="H37" s="2967"/>
      <c r="I37" s="2967"/>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c r="B46" s="1943" t="str">
        <f ca="1">项目基本情况!K4</f>
        <v>梁津（注册号：1119970066)、王鹏（注册号：1120050019)</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8"/>
      <c r="C1" s="2558" t="s">
        <v>2428</v>
      </c>
      <c r="D1" s="242"/>
      <c r="E1" s="242"/>
      <c r="F1" s="242"/>
      <c r="G1" s="1382">
        <f>MATCH(B1,'数据-取费表'!A6:A16,0)+5</f>
        <v>8</v>
      </c>
      <c r="H1" s="1285" t="str">
        <f>IF(ISERROR(FIND("住宅",B1)),"非住宅","住宅")</f>
        <v>非住宅</v>
      </c>
    </row>
    <row r="2" spans="1:8" s="244" customFormat="1" ht="18" customHeight="1">
      <c r="A2" s="245" t="s">
        <v>2327</v>
      </c>
      <c r="B2" s="246">
        <f ca="1">ROUND(IF(D2="——",C52/10000,C52/10000-E2),0)</f>
        <v>150440</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10845</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30519108</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30519108</v>
      </c>
      <c r="D8" s="266"/>
      <c r="E8" s="264"/>
      <c r="F8" s="265"/>
      <c r="G8" s="2555"/>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30519108</v>
      </c>
      <c r="D10" s="1035">
        <f ca="1">IF(B1="",'数据-汇总表'!E6,IF(INDIRECT("'数据-取费表'!c"&amp;$G$1)="住宅",INDIRECT("'数据-取费表'!s"&amp;$G$1),INDIRECT("'数据-取费表'!k"&amp;$G$1)+INDIRECT("'数据-取费表'!s"&amp;$G$1)))</f>
        <v>138723.22</v>
      </c>
      <c r="E10" s="269">
        <f>'数据-取费表'!B28</f>
        <v>220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27744644</v>
      </c>
      <c r="D19" s="1039">
        <f ca="1">D9+D10</f>
        <v>138723.22</v>
      </c>
      <c r="E19" s="255">
        <f>'数据-取费表'!B31</f>
        <v>200</v>
      </c>
      <c r="F19" s="275"/>
      <c r="G19" s="2555"/>
    </row>
    <row r="20" spans="1:7" s="258" customFormat="1" ht="13.5" customHeight="1">
      <c r="A20" s="299" t="s">
        <v>2439</v>
      </c>
      <c r="B20" s="254" t="s">
        <v>2440</v>
      </c>
      <c r="C20" s="276">
        <f ca="1">ROUND((C5+C19)*F20,0)</f>
        <v>1165275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7236837</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3754270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3412973</v>
      </c>
      <c r="D24" s="282"/>
      <c r="E24" s="282"/>
      <c r="F24" s="283"/>
      <c r="G24" s="284" t="s">
        <v>2451</v>
      </c>
    </row>
    <row r="25" spans="1:7" s="258" customFormat="1" ht="24">
      <c r="A25" s="954" t="s">
        <v>2341</v>
      </c>
      <c r="B25" s="259" t="s">
        <v>2452</v>
      </c>
      <c r="C25" s="1384">
        <f ca="1">ROUND(IF('数据-取费表'!B22&lt;=1,C20*F22*'数据-取费表'!B22/2,C20*(POWER((1+F22),'数据-取费表'!B22/2)-1)),0)</f>
        <v>69594</v>
      </c>
      <c r="D25" s="282"/>
      <c r="E25" s="285"/>
      <c r="F25" s="283"/>
      <c r="G25" s="286" t="s">
        <v>2453</v>
      </c>
    </row>
    <row r="26" spans="1:7" s="258" customFormat="1">
      <c r="A26" s="954" t="s">
        <v>795</v>
      </c>
      <c r="B26" s="259" t="s">
        <v>2376</v>
      </c>
      <c r="C26" s="282">
        <f ca="1">ROUND(IF('数据-取费表'!B22&lt;=1,F21*F22*'数据-取费表'!B22/2,F21*(POWER((1+F22),'数据-取费表'!B22/2)-1)),4)</f>
        <v>1.1999999999999999E-3</v>
      </c>
      <c r="D26" s="282"/>
      <c r="E26" s="285"/>
      <c r="F26" s="283"/>
      <c r="G26" s="287"/>
    </row>
    <row r="27" spans="1:7" s="258" customFormat="1" ht="26.4">
      <c r="A27" s="299" t="s">
        <v>2377</v>
      </c>
      <c r="B27" s="288" t="s">
        <v>2378</v>
      </c>
      <c r="C27" s="289">
        <f ca="1">C28</f>
        <v>10697225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ROUND((C5+C19+C20)*F27,0)</f>
        <v>10697225</v>
      </c>
      <c r="D28" s="279"/>
      <c r="E28" s="280"/>
      <c r="F28" s="290"/>
      <c r="G28" s="291"/>
    </row>
    <row r="29" spans="1:7" s="258" customFormat="1" ht="13.5" customHeight="1">
      <c r="A29" s="954" t="s">
        <v>792</v>
      </c>
      <c r="B29" s="292" t="s">
        <v>2382</v>
      </c>
      <c r="C29" s="282">
        <f ca="1">ROUND(C21*F27,4)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83917007</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1035607938</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946350510</v>
      </c>
      <c r="D34" s="261"/>
      <c r="E34" s="264"/>
      <c r="F34" s="301"/>
      <c r="G34" s="263"/>
    </row>
    <row r="35" spans="1:7" ht="13.5" customHeight="1">
      <c r="A35" s="954" t="s">
        <v>796</v>
      </c>
      <c r="B35" s="259" t="s">
        <v>2392</v>
      </c>
      <c r="C35" s="264">
        <f ca="1">ROUND(C34*F35,0)</f>
        <v>47317526</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27744644</v>
      </c>
      <c r="D37" s="261">
        <f ca="1">D19</f>
        <v>138723.22</v>
      </c>
      <c r="E37" s="293">
        <f>'数据-取费表'!B35</f>
        <v>200</v>
      </c>
      <c r="F37" s="303"/>
      <c r="G37" s="305"/>
    </row>
    <row r="38" spans="1:7" ht="13.5" customHeight="1">
      <c r="A38" s="954" t="s">
        <v>799</v>
      </c>
      <c r="B38" s="259" t="s">
        <v>2398</v>
      </c>
      <c r="C38" s="264">
        <f ca="1">ROUND(C34*F38,0)</f>
        <v>14195258</v>
      </c>
      <c r="D38" s="264"/>
      <c r="E38" s="264"/>
      <c r="F38" s="303">
        <f>'数据-取费表'!B36</f>
        <v>1.4999999999999999E-2</v>
      </c>
      <c r="G38" s="263" t="s">
        <v>2393</v>
      </c>
    </row>
    <row r="39" spans="1:7" s="258" customFormat="1" ht="13.5" customHeight="1">
      <c r="A39" s="299" t="s">
        <v>2399</v>
      </c>
      <c r="B39" s="254" t="s">
        <v>2400</v>
      </c>
      <c r="C39" s="276">
        <f ca="1">ROUND(C33*F20,0)</f>
        <v>20712159</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63087067</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61850066</v>
      </c>
      <c r="D42" s="282"/>
      <c r="E42" s="282"/>
      <c r="F42" s="283"/>
      <c r="G42" s="3153" t="s">
        <v>2456</v>
      </c>
    </row>
    <row r="43" spans="1:7" ht="13.5" customHeight="1">
      <c r="A43" s="954" t="s">
        <v>792</v>
      </c>
      <c r="B43" s="259" t="s">
        <v>2410</v>
      </c>
      <c r="C43" s="282">
        <f ca="1">ROUND(IF('数据-取费表'!B22&lt;=1,C39*F22*'数据-取费表'!B20/2,C39*(POWER((1+F22),'数据-取费表'!B20/2)-1)),0)</f>
        <v>1237001</v>
      </c>
      <c r="D43" s="282"/>
      <c r="E43" s="282"/>
      <c r="F43" s="283"/>
      <c r="G43" s="3154"/>
    </row>
    <row r="44" spans="1:7" ht="13.5" customHeight="1">
      <c r="A44" s="954" t="s">
        <v>793</v>
      </c>
      <c r="B44" s="259" t="s">
        <v>2411</v>
      </c>
      <c r="C44" s="282">
        <f ca="1">ROUND(IF('数据-取费表'!B22&lt;=1,C40*F22*'数据-取费表'!B20/2,C40*(POWER((1+F22),'数据-取费表'!B20/2)-1)),4)</f>
        <v>1.1999999999999999E-3</v>
      </c>
      <c r="D44" s="282"/>
      <c r="E44" s="282"/>
      <c r="F44" s="283"/>
      <c r="G44" s="3155"/>
    </row>
    <row r="45" spans="1:7" s="258" customFormat="1" ht="13.5" customHeight="1">
      <c r="A45" s="299" t="s">
        <v>2412</v>
      </c>
      <c r="B45" s="288" t="s">
        <v>2378</v>
      </c>
      <c r="C45" s="289">
        <f ca="1">C46</f>
        <v>190137617</v>
      </c>
      <c r="D45" s="279">
        <f ca="1">C47</f>
        <v>3.5999999999999999E-3</v>
      </c>
      <c r="E45" s="280" t="s">
        <v>2404</v>
      </c>
      <c r="F45" s="290"/>
      <c r="G45" s="291" t="s">
        <v>2413</v>
      </c>
    </row>
    <row r="46" spans="1:7" s="258" customFormat="1" ht="13.5" customHeight="1">
      <c r="A46" s="954" t="s">
        <v>791</v>
      </c>
      <c r="B46" s="292" t="s">
        <v>2414</v>
      </c>
      <c r="C46" s="293">
        <f ca="1">ROUND((C33+C39)*F27,0)</f>
        <v>190137617</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1420484631</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1420484631</v>
      </c>
      <c r="D51" s="276"/>
      <c r="E51" s="276"/>
      <c r="F51" s="308"/>
      <c r="G51" s="278" t="s">
        <v>2425</v>
      </c>
    </row>
    <row r="52" spans="1:7" s="252" customFormat="1" ht="16.8" thickBot="1">
      <c r="A52" s="309" t="s">
        <v>2426</v>
      </c>
      <c r="B52" s="310"/>
      <c r="C52" s="311">
        <f ca="1">C31+C51</f>
        <v>1504401638</v>
      </c>
      <c r="D52" s="310"/>
      <c r="E52" s="310"/>
      <c r="F52" s="310"/>
      <c r="G52" s="312"/>
    </row>
    <row r="55" spans="1:7" ht="15">
      <c r="B55" s="314" t="s">
        <v>2427</v>
      </c>
      <c r="C55" s="315"/>
    </row>
    <row r="56" spans="1:7">
      <c r="B56" s="317" t="s">
        <v>1509</v>
      </c>
      <c r="C56" s="319">
        <f ca="1">1-C57</f>
        <v>5.600000000000005E-2</v>
      </c>
    </row>
    <row r="57" spans="1:7">
      <c r="B57" s="317" t="s">
        <v>1510</v>
      </c>
      <c r="C57" s="318">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2"/>
      <c r="C1" s="1583"/>
      <c r="D1" s="1581"/>
      <c r="E1" s="320"/>
      <c r="F1" s="320"/>
      <c r="G1" s="1582"/>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9" t="s">
        <v>2465</v>
      </c>
      <c r="D5" s="2559" t="s">
        <v>2466</v>
      </c>
      <c r="E5" s="2559" t="s">
        <v>2467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138723.22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138723.22</v>
      </c>
      <c r="E17" s="24">
        <f>'数据-取费表'!B32</f>
        <v>0</v>
      </c>
      <c r="F17" s="981"/>
      <c r="G17" s="140" t="s">
        <v>2491</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1"/>
      <c r="H18" s="1578"/>
      <c r="I18" s="2562"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2495</v>
      </c>
      <c r="C20" s="24">
        <f ca="1">ROUND(D20*E20/10000,0)</f>
        <v>3052</v>
      </c>
      <c r="D20" s="1036">
        <f ca="1">IF(C1="",'数据-汇总表'!E6,IF(INDIRECT("'数据-取费表'!c"&amp;$K$1)="住宅",INDIRECT("'数据-取费表'!s"&amp;$K$1),INDIRECT("'数据-取费表'!k"&amp;$K$1)+INDIRECT("'数据-取费表'!s"&amp;$K$1)))</f>
        <v>138723.22</v>
      </c>
      <c r="E20" s="24">
        <f>'数据-取费表'!B28</f>
        <v>220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2509</v>
      </c>
      <c r="B28" s="2564" t="s">
        <v>2510</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5"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sqref="A1:XFD104857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27</v>
      </c>
      <c r="D1" s="1821" t="s">
        <v>70</v>
      </c>
      <c r="E1" s="1822" t="s">
        <v>1383</v>
      </c>
      <c r="F1" s="1286">
        <f ca="1">J53</f>
        <v>36.65</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78099</v>
      </c>
      <c r="C2" s="1846" t="s">
        <v>1512</v>
      </c>
      <c r="D2" s="1846"/>
      <c r="E2" s="1847"/>
      <c r="F2" s="1848"/>
      <c r="G2" s="1849"/>
      <c r="H2" s="1841"/>
      <c r="I2" s="1841"/>
      <c r="J2" s="1841"/>
      <c r="K2" s="1842"/>
      <c r="L2" s="1841"/>
      <c r="M2" s="1841"/>
    </row>
    <row r="3" spans="1:37" ht="18" customHeight="1" thickBot="1">
      <c r="A3" s="1850" t="s">
        <v>1513</v>
      </c>
      <c r="B3" s="1851">
        <f ca="1">IF(ISERROR(B2*10000/F43),0,ROUND(B2*10000/F43,0))</f>
        <v>27118</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f>
        <v>4262</v>
      </c>
      <c r="D5" s="1823" t="s">
        <v>1398</v>
      </c>
      <c r="E5" s="1296"/>
      <c r="F5" s="1297"/>
      <c r="G5" s="1852"/>
      <c r="H5" s="344">
        <v>1</v>
      </c>
      <c r="I5" s="345" t="s">
        <v>1397</v>
      </c>
      <c r="J5" s="1295">
        <f ca="1">J6+J10+J12</f>
        <v>0</v>
      </c>
      <c r="K5" s="1823" t="s">
        <v>1398</v>
      </c>
      <c r="L5" s="1296"/>
      <c r="M5" s="1297"/>
    </row>
    <row r="6" spans="1:37" ht="18" customHeight="1">
      <c r="A6" s="1294" t="s">
        <v>1032</v>
      </c>
      <c r="B6" s="3156" t="s">
        <v>1399</v>
      </c>
      <c r="C6" s="1299">
        <f ca="1">ROUND(F6*F8*F7*(1-F9)/10000,0)</f>
        <v>4257</v>
      </c>
      <c r="D6" s="164" t="s">
        <v>3033</v>
      </c>
      <c r="E6" s="347" t="s">
        <v>1401</v>
      </c>
      <c r="F6" s="348">
        <f ca="1">INDIRECT("'数据-取费表'!u"&amp;$G$1)</f>
        <v>4.5</v>
      </c>
      <c r="G6" s="1852"/>
      <c r="H6" s="1294" t="s">
        <v>1032</v>
      </c>
      <c r="I6" s="3156" t="s">
        <v>1399</v>
      </c>
      <c r="J6" s="346">
        <f ca="1">ROUND(M6*M8*M7*(1-M9)/10000,0)</f>
        <v>0</v>
      </c>
      <c r="K6" s="164" t="s">
        <v>3032</v>
      </c>
      <c r="L6" s="347" t="s">
        <v>1401</v>
      </c>
      <c r="M6" s="348">
        <f ca="1">INDIRECT("'数据-取费表'!z"&amp;$G$1)</f>
        <v>0</v>
      </c>
    </row>
    <row r="7" spans="1:37" ht="18" customHeight="1">
      <c r="A7" s="1298"/>
      <c r="B7" s="3157"/>
      <c r="C7" s="1300"/>
      <c r="D7" s="352"/>
      <c r="E7" s="2948" t="s">
        <v>1402</v>
      </c>
      <c r="F7" s="348">
        <f ca="1">IF(INDIRECT("'数据-取费表'!ah"&amp;$G$1)="",INDIRECT("'数据-取费表'!k"&amp;$G$1),INDIRECT("'数据-取费表'!ah"&amp;$G$1))</f>
        <v>28799.49</v>
      </c>
      <c r="G7" s="1852"/>
      <c r="H7" s="349"/>
      <c r="I7" s="3157"/>
      <c r="J7" s="351"/>
      <c r="K7" s="352"/>
      <c r="L7" s="347" t="s">
        <v>1402</v>
      </c>
      <c r="M7" s="348">
        <f ca="1">F7</f>
        <v>28799.49</v>
      </c>
    </row>
    <row r="8" spans="1:37" ht="18" customHeight="1">
      <c r="A8" s="349"/>
      <c r="B8" s="3157"/>
      <c r="C8" s="351"/>
      <c r="D8" s="352"/>
      <c r="E8" s="347" t="s">
        <v>1403</v>
      </c>
      <c r="F8" s="348">
        <f ca="1">INDIRECT("'数据-取费表'!ai"&amp;$G$1)</f>
        <v>365</v>
      </c>
      <c r="G8" s="1852"/>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5</v>
      </c>
      <c r="D10" s="1825" t="s">
        <v>3041</v>
      </c>
      <c r="E10" s="358" t="s">
        <v>1406</v>
      </c>
      <c r="F10" s="1369" t="s">
        <v>3382</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33144</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22481</v>
      </c>
      <c r="D14" s="2951" t="s">
        <v>1414</v>
      </c>
      <c r="E14" s="2950"/>
      <c r="F14" s="364"/>
      <c r="G14" s="1852"/>
      <c r="H14" s="1204" t="s">
        <v>1032</v>
      </c>
      <c r="I14" s="347" t="s">
        <v>1415</v>
      </c>
      <c r="J14" s="24">
        <f ca="1">C29</f>
        <v>33144</v>
      </c>
      <c r="K14" s="2947"/>
      <c r="L14" s="982"/>
      <c r="M14" s="983"/>
    </row>
    <row r="15" spans="1:37" s="1859" customFormat="1" ht="18" customHeight="1" thickBot="1">
      <c r="A15" s="1204" t="s">
        <v>1033</v>
      </c>
      <c r="B15" s="347" t="s">
        <v>1416</v>
      </c>
      <c r="C15" s="24">
        <f ca="1">ROUND(C14*F15,0)</f>
        <v>1124</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612</v>
      </c>
      <c r="K16" s="1340" t="s">
        <v>1421</v>
      </c>
      <c r="L16" s="2953"/>
      <c r="M16" s="1297"/>
    </row>
    <row r="17" spans="1:37" s="1859" customFormat="1" ht="18" customHeight="1">
      <c r="A17" s="1204" t="s">
        <v>1386</v>
      </c>
      <c r="B17" s="347" t="s">
        <v>1422</v>
      </c>
      <c r="C17" s="24">
        <f ca="1">ROUND(F17*(F43+INDIRECT("'数据-取费表'!S"&amp;$G$1))/10000,0)</f>
        <v>836</v>
      </c>
      <c r="D17" s="347" t="s">
        <v>1423</v>
      </c>
      <c r="E17" s="347" t="s">
        <v>1424</v>
      </c>
      <c r="F17" s="26">
        <f>'数据-取费表'!B35</f>
        <v>200</v>
      </c>
      <c r="G17" s="1855"/>
      <c r="H17" s="1204" t="s">
        <v>1032</v>
      </c>
      <c r="I17" s="347" t="s">
        <v>1425</v>
      </c>
      <c r="J17" s="24">
        <f ca="1">ROUND(IF(项目基本情况!B11="自然人",J5*M17,J18+J19+J20),1)</f>
        <v>280.5</v>
      </c>
      <c r="K17" s="2951" t="s">
        <v>1426</v>
      </c>
      <c r="L17" s="2952"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337</v>
      </c>
      <c r="D18" s="347" t="s">
        <v>1417</v>
      </c>
      <c r="E18" s="347" t="s">
        <v>1418</v>
      </c>
      <c r="F18" s="367">
        <f>'数据-取费表'!B36</f>
        <v>1.4999999999999999E-2</v>
      </c>
      <c r="G18" s="1855"/>
      <c r="H18" s="1204" t="s">
        <v>1031</v>
      </c>
      <c r="I18" s="347" t="s">
        <v>1429</v>
      </c>
      <c r="J18" s="24">
        <f ca="1">ROUND(J5*M18/(1+'数据-取费表'!C42),2)</f>
        <v>0</v>
      </c>
      <c r="K18" s="2952"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24778</v>
      </c>
      <c r="D19" s="140" t="s">
        <v>1432</v>
      </c>
      <c r="E19" s="2946"/>
      <c r="F19" s="26"/>
      <c r="G19" s="1852"/>
      <c r="H19" s="1204" t="s">
        <v>1033</v>
      </c>
      <c r="I19" s="347" t="s">
        <v>1433</v>
      </c>
      <c r="J19" s="24">
        <f ca="1">IF(K19="按租金收入计税",ROUND(J5*M19,2),ROUND(C29*M19*0.7,2))</f>
        <v>278.41000000000003</v>
      </c>
      <c r="K19" s="1829" t="s">
        <v>1434</v>
      </c>
      <c r="L19" s="347" t="s">
        <v>1418</v>
      </c>
      <c r="M19" s="367">
        <f>IF(K19="按租金收入计税",'数据-取费表'!B51,'数据-取费表'!B50)</f>
        <v>1.2E-2</v>
      </c>
    </row>
    <row r="20" spans="1:37" s="1859" customFormat="1" ht="18" customHeight="1">
      <c r="A20" s="1204" t="s">
        <v>1036</v>
      </c>
      <c r="B20" s="347" t="s">
        <v>1435</v>
      </c>
      <c r="C20" s="24">
        <f ca="1">ROUND(C19*F20,0)</f>
        <v>496</v>
      </c>
      <c r="D20" s="369" t="s">
        <v>1436</v>
      </c>
      <c r="E20" s="347" t="s">
        <v>1418</v>
      </c>
      <c r="F20" s="367">
        <f>'数据-取费表'!B37</f>
        <v>0.02</v>
      </c>
      <c r="G20" s="1855"/>
      <c r="H20" s="1204" t="s">
        <v>1385</v>
      </c>
      <c r="I20" s="164" t="s">
        <v>1437</v>
      </c>
      <c r="J20" s="25">
        <f ca="1">ROUND(M20*M21/10000,2)</f>
        <v>2.06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1143.33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6"/>
      <c r="F22" s="26"/>
      <c r="G22" s="1852"/>
      <c r="H22" s="1204" t="s">
        <v>1036</v>
      </c>
      <c r="I22" s="347" t="s">
        <v>1445</v>
      </c>
      <c r="J22" s="24">
        <f ca="1">ROUND(J14*M22,1)</f>
        <v>331.4</v>
      </c>
      <c r="K22" s="2952"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1510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2952" t="s">
        <v>1450</v>
      </c>
      <c r="L23" s="347" t="s">
        <v>1418</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1388</v>
      </c>
      <c r="I24" s="1343" t="s">
        <v>1435</v>
      </c>
      <c r="J24" s="1344">
        <f ca="1">ROUND(J5*M24,1)</f>
        <v>0</v>
      </c>
      <c r="K24" s="1345" t="s">
        <v>1455</v>
      </c>
      <c r="L24" s="1343" t="s">
        <v>1418</v>
      </c>
      <c r="M24" s="1339">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2946"/>
      <c r="F25" s="26"/>
      <c r="G25" s="1852"/>
      <c r="H25" s="1332" t="s">
        <v>1028</v>
      </c>
      <c r="I25" s="1347" t="s">
        <v>1459</v>
      </c>
      <c r="J25" s="355">
        <f ca="1">J5-J16</f>
        <v>-612</v>
      </c>
      <c r="K25" s="1348" t="s">
        <v>1460</v>
      </c>
      <c r="L25" s="1349"/>
      <c r="M25" s="1350"/>
    </row>
    <row r="26" spans="1:37">
      <c r="A26" s="1204" t="s">
        <v>1031</v>
      </c>
      <c r="B26" s="347" t="s">
        <v>1461</v>
      </c>
      <c r="C26" s="24">
        <f ca="1">ROUND((C19+C20)*F26,0)</f>
        <v>3791</v>
      </c>
      <c r="D26" s="369" t="s">
        <v>1462</v>
      </c>
      <c r="E26" s="358" t="s">
        <v>1463</v>
      </c>
      <c r="F26" s="357">
        <f ca="1">INDIRECT("'数据-取费表'!q"&amp;$G$1)</f>
        <v>0.15</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33144</v>
      </c>
      <c r="D29" s="1345"/>
      <c r="E29" s="1343"/>
      <c r="F29" s="1346"/>
      <c r="G29" s="1855"/>
      <c r="H29" s="380" t="s">
        <v>1030</v>
      </c>
      <c r="I29" s="381" t="s">
        <v>1475</v>
      </c>
      <c r="J29" s="382">
        <f ca="1">ROUND(J26/(1+F40)^F41,0)</f>
        <v>0</v>
      </c>
      <c r="K29" s="383" t="s">
        <v>1476</v>
      </c>
      <c r="L29" s="384"/>
      <c r="M29" s="385">
        <f ca="1">INDIRECT("'数据-取费表'!k"&amp;$G$1)</f>
        <v>28799.49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1186</v>
      </c>
      <c r="D30" s="1340" t="s">
        <v>1421</v>
      </c>
      <c r="E30" s="2953"/>
      <c r="F30" s="1297"/>
      <c r="G30" s="1852"/>
      <c r="H30" s="745"/>
      <c r="I30" s="746"/>
      <c r="J30" s="747"/>
      <c r="K30" s="748"/>
      <c r="L30" s="749"/>
      <c r="M30" s="750"/>
    </row>
    <row r="31" spans="1:37" ht="18" customHeight="1">
      <c r="A31" s="1204" t="s">
        <v>1032</v>
      </c>
      <c r="B31" s="347" t="s">
        <v>1425</v>
      </c>
      <c r="C31" s="24">
        <f ca="1">ROUND(IF(项目基本情况!B11="自然人",C5*F31,C32+C33+C34),1)</f>
        <v>740.8</v>
      </c>
      <c r="D31" s="2951" t="s">
        <v>1426</v>
      </c>
      <c r="E31" s="2952"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 ca="1">IF(项目基本情况!B11="自然人","——",ROUND(C5*F32/(1+'数据-取费表'!C42),2))</f>
        <v>227.31</v>
      </c>
      <c r="D32" s="2952"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511.44</v>
      </c>
      <c r="D33" s="1829" t="s">
        <v>3383</v>
      </c>
      <c r="E33" s="347" t="s">
        <v>1418</v>
      </c>
      <c r="F33" s="367">
        <f>IF(D33="按票据","——",IF(D33="按租金收入计税",'数据-取费表'!B51,'数据-取费表'!B50))</f>
        <v>0.12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2.06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1143.33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331.4</v>
      </c>
      <c r="D36" s="2952"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49.7</v>
      </c>
      <c r="D37" s="2952" t="s">
        <v>1450</v>
      </c>
      <c r="E37" s="347" t="s">
        <v>1418</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1388</v>
      </c>
      <c r="B38" s="1343" t="s">
        <v>1435</v>
      </c>
      <c r="C38" s="1344">
        <f ca="1">ROUND(C5*F38,1)</f>
        <v>63.9</v>
      </c>
      <c r="D38" s="1345" t="s">
        <v>1455</v>
      </c>
      <c r="E38" s="1343" t="s">
        <v>1418</v>
      </c>
      <c r="F38" s="1339">
        <f ca="1">INDIRECT("'数据-取费表'!Am"&amp;$G$1)</f>
        <v>1.4999999999999999E-2</v>
      </c>
      <c r="G38" s="1852"/>
      <c r="H38" s="1860"/>
      <c r="I38" s="1861"/>
      <c r="J38" s="1862"/>
      <c r="K38" s="1866"/>
      <c r="L38" s="1860"/>
      <c r="M38" s="1860"/>
      <c r="N38" s="1843"/>
      <c r="O38" s="1843"/>
      <c r="P38" s="1843"/>
      <c r="Q38" s="1843"/>
      <c r="R38" s="1843"/>
    </row>
    <row r="39" spans="1:18" s="302" customFormat="1" ht="24.6" customHeight="1" thickTop="1">
      <c r="A39" s="1332" t="s">
        <v>1028</v>
      </c>
      <c r="B39" s="1347" t="s">
        <v>1459</v>
      </c>
      <c r="C39" s="355">
        <f ca="1">C5-C30</f>
        <v>3076</v>
      </c>
      <c r="D39" s="1348" t="s">
        <v>1460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77536</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3.5000000000000003E-2</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26923</v>
      </c>
      <c r="D43" s="383" t="s">
        <v>1484</v>
      </c>
      <c r="E43" s="384" t="s">
        <v>1485</v>
      </c>
      <c r="F43" s="385">
        <f ca="1">INDIRECT("'数据-取费表'!k"&amp;$G$1)</f>
        <v>28799.49</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-127025</v>
      </c>
      <c r="D46" s="1873" t="str">
        <f>C2</f>
        <v>万元</v>
      </c>
      <c r="E46" s="1867"/>
      <c r="F46" s="1867"/>
      <c r="I46" s="1874" t="s">
        <v>1517</v>
      </c>
      <c r="J46" s="1875"/>
      <c r="K46" s="1876"/>
      <c r="L46" s="1877">
        <f ca="1">IF(M47="住宅",0,IF(L48&gt;J51,L60,J60))</f>
        <v>563</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77536</v>
      </c>
      <c r="R47" s="1887" t="s">
        <v>1525</v>
      </c>
    </row>
    <row r="48" spans="1:18" s="1843" customFormat="1" ht="40.200000000000003" thickBot="1">
      <c r="A48" s="1363" t="s">
        <v>1132</v>
      </c>
      <c r="B48" s="345" t="s">
        <v>1397</v>
      </c>
      <c r="C48" s="2945">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f ca="1">J60</f>
        <v>563</v>
      </c>
      <c r="R48" s="1887" t="s">
        <v>1529</v>
      </c>
    </row>
    <row r="49" spans="1:18" s="1843" customFormat="1" ht="13.8" thickBot="1">
      <c r="A49" s="1197" t="s">
        <v>1133</v>
      </c>
      <c r="B49" s="1830" t="s">
        <v>1486</v>
      </c>
      <c r="C49" s="1367">
        <f ca="1">ROUND(F49*F51*F50*(1-F52)/10000,0)</f>
        <v>0</v>
      </c>
      <c r="D49" s="1279" t="s">
        <v>3032</v>
      </c>
      <c r="E49" s="1831" t="s">
        <v>1487</v>
      </c>
      <c r="F49" s="1284"/>
      <c r="G49" s="1892"/>
      <c r="H49" s="793"/>
      <c r="I49" s="1888" t="s">
        <v>1530</v>
      </c>
      <c r="J49" s="1893">
        <v>2018</v>
      </c>
      <c r="K49" s="1890" t="s">
        <v>1531</v>
      </c>
      <c r="L49" s="1894"/>
      <c r="O49" s="1895" t="s">
        <v>1039</v>
      </c>
      <c r="P49" s="1886" t="s">
        <v>1532</v>
      </c>
      <c r="Q49" s="1887">
        <f ca="1">C29</f>
        <v>33144</v>
      </c>
      <c r="R49" s="1887" t="s">
        <v>1525</v>
      </c>
    </row>
    <row r="50" spans="1:18" s="1843" customFormat="1" ht="13.8" thickBot="1">
      <c r="A50" s="1198"/>
      <c r="B50" s="1201"/>
      <c r="C50" s="1371"/>
      <c r="D50" s="1175"/>
      <c r="E50" s="1280" t="s">
        <v>1402</v>
      </c>
      <c r="F50" s="1281">
        <f ca="1">F7</f>
        <v>28799.49</v>
      </c>
      <c r="H50" s="793"/>
      <c r="I50" s="1888" t="s">
        <v>1533</v>
      </c>
      <c r="J50" s="1896">
        <f>SUMPRODUCT((I63:I65=J47)*(J62:L62=J48)*(J63:L65))</f>
        <v>60</v>
      </c>
      <c r="K50" s="1890" t="s">
        <v>1534</v>
      </c>
      <c r="L50" s="1894"/>
      <c r="M50" s="1897"/>
      <c r="O50" s="1895" t="s">
        <v>1040</v>
      </c>
      <c r="P50" s="1886" t="s">
        <v>1535</v>
      </c>
      <c r="Q50" s="1898">
        <f ca="1">J58</f>
        <v>0.4</v>
      </c>
      <c r="R50" s="1887"/>
    </row>
    <row r="51" spans="1:18" s="1843" customFormat="1" ht="13.8" thickBot="1">
      <c r="A51" s="1199"/>
      <c r="B51" s="1201"/>
      <c r="C51" s="1202"/>
      <c r="D51" s="1175"/>
      <c r="E51" s="1203" t="s">
        <v>1403</v>
      </c>
      <c r="F51" s="348">
        <f ca="1">F8</f>
        <v>365</v>
      </c>
      <c r="I51" s="1899" t="s">
        <v>1536</v>
      </c>
      <c r="J51" s="1900">
        <f>IF(J49="",J50,J49+J50-YEAR('数据-取费表'!B2))</f>
        <v>59</v>
      </c>
      <c r="K51" s="1901" t="s">
        <v>1537</v>
      </c>
      <c r="L51" s="1902">
        <f ca="1">ROUND(-PV(INDIRECT("'数据-取费表'!h"&amp;$G$1),L48,(C39-C13*C76),0),0)</f>
        <v>4310</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59" t="s">
        <v>1544</v>
      </c>
      <c r="L53" s="3160"/>
      <c r="O53" s="1885" t="s">
        <v>1043</v>
      </c>
      <c r="P53" s="1886" t="s">
        <v>1545</v>
      </c>
      <c r="Q53" s="1887">
        <f ca="1">Q47+Q48</f>
        <v>78099</v>
      </c>
      <c r="R53" s="1887" t="s">
        <v>1044</v>
      </c>
    </row>
    <row r="54" spans="1:18" s="1843" customFormat="1" ht="24.6" thickBot="1">
      <c r="A54" s="1408"/>
      <c r="B54" s="1826" t="s">
        <v>1384</v>
      </c>
      <c r="C54" s="1181"/>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2949"/>
      <c r="F55" s="1908"/>
      <c r="I55" s="1911" t="s">
        <v>1547</v>
      </c>
      <c r="J55" s="1912">
        <f ca="1">ROUND(IF(J47="钢混",J57/J50,1-(1-2%)*(J50-J57)/J50),3)</f>
        <v>0.373</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33144</v>
      </c>
      <c r="D56" s="1915"/>
      <c r="E56" s="1916"/>
      <c r="F56" s="1908"/>
      <c r="I56" s="1917" t="s">
        <v>1550</v>
      </c>
      <c r="J56" s="1918" t="s">
        <v>3384</v>
      </c>
      <c r="K56" s="1888" t="s">
        <v>1551</v>
      </c>
      <c r="L56" s="1891" t="str">
        <f ca="1">IF(L48&lt;J51,"——",L48-J53)</f>
        <v>——</v>
      </c>
      <c r="O56" s="1885" t="s">
        <v>1037</v>
      </c>
      <c r="P56" s="1886" t="s">
        <v>1524</v>
      </c>
      <c r="Q56" s="1887">
        <f ca="1">C40+J29</f>
        <v>77536</v>
      </c>
      <c r="R56" s="1887" t="s">
        <v>1525</v>
      </c>
    </row>
    <row r="57" spans="1:18" s="1843" customFormat="1" ht="24.6" thickBot="1">
      <c r="A57" s="1919"/>
      <c r="B57" s="1172" t="s">
        <v>1474</v>
      </c>
      <c r="C57" s="282">
        <f ca="1">C29</f>
        <v>33144</v>
      </c>
      <c r="D57" s="1920"/>
      <c r="E57" s="1921"/>
      <c r="F57" s="1922"/>
      <c r="I57" s="1923" t="s">
        <v>1552</v>
      </c>
      <c r="J57" s="1924">
        <f ca="1">IF(OR(M47="住宅",J51&lt;L48,J56="是"),"——",J51-L48)</f>
        <v>22.35</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3167</v>
      </c>
      <c r="D58" s="1182" t="s">
        <v>1421</v>
      </c>
      <c r="E58" s="1183"/>
      <c r="F58" s="1184"/>
      <c r="I58" s="1923" t="s">
        <v>1556</v>
      </c>
      <c r="J58" s="1925">
        <f ca="1">IF(J55&lt;0.4,0.4,J55)</f>
        <v>0.4</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2786.2</v>
      </c>
      <c r="D59" s="1185" t="s">
        <v>1426</v>
      </c>
      <c r="E59" s="1186" t="s">
        <v>1427</v>
      </c>
      <c r="F59" s="368">
        <f ca="1">IF(项目基本情况!B11="企业","",IF(INDIRECT("'数据-取费表'!c"&amp;$G$1)="住宅",5%,IF(F49*F50*F51/12/(1+'数据-取费表'!C42)&gt;20000,12%,7%)))</f>
        <v>7.0000000000000007E-2</v>
      </c>
      <c r="I59" s="1923" t="s">
        <v>1559</v>
      </c>
      <c r="J59" s="1924">
        <f ca="1">IF(OR(M47="住宅",J51&lt;L48,J56="是"),"——",ROUND(C29*J58,0))</f>
        <v>13258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f ca="1">IF(OR(M47="住宅",J51&lt;L48,J56="是"),"0",ROUND(J59/(1+J52)^J53,0))</f>
        <v>563</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1433</v>
      </c>
      <c r="C61" s="24">
        <f ca="1">IF(项目基本情况!B11="自然人","——",IF(D61="按租金收入计税",ROUND(C48*F61,2),IF(D61="按房产原值计税",ROUND(C57*F61*0.7,2),INDIRECT("'数据-取费表'!Aj"&amp;$G$1))))</f>
        <v>2784.1</v>
      </c>
      <c r="D61" s="1829" t="s">
        <v>1434</v>
      </c>
      <c r="E61" s="1172" t="s">
        <v>1418</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1437</v>
      </c>
      <c r="C62" s="25">
        <f ca="1">IF(项目基本情况!B11="自然人","——",ROUND(F62*F63/10000,2))</f>
        <v>2.06</v>
      </c>
      <c r="D62" s="1187" t="s">
        <v>1438</v>
      </c>
      <c r="E62" s="1172" t="s">
        <v>1439</v>
      </c>
      <c r="F62" s="371">
        <f t="shared" si="0"/>
        <v>18</v>
      </c>
      <c r="I62" s="1930" t="s">
        <v>1566</v>
      </c>
      <c r="J62" s="1931" t="s">
        <v>1567</v>
      </c>
      <c r="K62" s="1931" t="s">
        <v>1568</v>
      </c>
      <c r="L62" s="1931" t="s">
        <v>1569</v>
      </c>
      <c r="M62" s="1932" t="s">
        <v>1570</v>
      </c>
      <c r="O62" s="1885" t="s">
        <v>1043</v>
      </c>
      <c r="P62" s="1886" t="s">
        <v>1545</v>
      </c>
      <c r="Q62" s="1887">
        <f ca="1">Q56+Q57</f>
        <v>77536</v>
      </c>
      <c r="R62" s="1887" t="s">
        <v>1044</v>
      </c>
    </row>
    <row r="63" spans="1:18" s="1843" customFormat="1" ht="13.8" thickBot="1">
      <c r="A63" s="372"/>
      <c r="B63" s="1178"/>
      <c r="C63" s="29"/>
      <c r="D63" s="1188"/>
      <c r="E63" s="1172" t="s">
        <v>1443</v>
      </c>
      <c r="F63" s="348">
        <f t="shared" ca="1" si="0"/>
        <v>1143.33</v>
      </c>
      <c r="I63" s="1930" t="s">
        <v>1572</v>
      </c>
      <c r="J63" s="1931">
        <v>70</v>
      </c>
      <c r="K63" s="1931">
        <v>50</v>
      </c>
      <c r="L63" s="1931">
        <v>80</v>
      </c>
      <c r="M63" s="1933">
        <v>0.02</v>
      </c>
      <c r="O63" s="1870" t="s">
        <v>1573</v>
      </c>
      <c r="P63" s="1840"/>
      <c r="Q63" s="1840"/>
      <c r="R63" s="1840"/>
    </row>
    <row r="64" spans="1:18" s="1843" customFormat="1" ht="13.8" thickBot="1">
      <c r="A64" s="1204" t="s">
        <v>1036</v>
      </c>
      <c r="B64" s="1172" t="s">
        <v>1445</v>
      </c>
      <c r="C64" s="24">
        <f ca="1">ROUND(C57*F64,1)</f>
        <v>331.4</v>
      </c>
      <c r="D64" s="1186" t="s">
        <v>1478</v>
      </c>
      <c r="E64" s="1172" t="s">
        <v>1418</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49.7</v>
      </c>
      <c r="D65" s="1186" t="s">
        <v>1450</v>
      </c>
      <c r="E65" s="1172" t="s">
        <v>1418</v>
      </c>
      <c r="F65" s="376">
        <f t="shared" ca="1" si="0"/>
        <v>1.5E-3</v>
      </c>
      <c r="I65" s="1930" t="s">
        <v>1575</v>
      </c>
      <c r="J65" s="1931">
        <v>40</v>
      </c>
      <c r="K65" s="1931">
        <v>30</v>
      </c>
      <c r="L65" s="1931">
        <v>50</v>
      </c>
      <c r="M65" s="1933">
        <v>0.02</v>
      </c>
      <c r="O65" s="1885" t="s">
        <v>1037</v>
      </c>
      <c r="P65" s="1886" t="s">
        <v>1524</v>
      </c>
      <c r="Q65" s="1887">
        <f ca="1">C40+J29</f>
        <v>77536</v>
      </c>
      <c r="R65" s="1887" t="s">
        <v>1525</v>
      </c>
    </row>
    <row r="66" spans="1:18" s="1843" customFormat="1" ht="16.2" thickBot="1">
      <c r="A66" s="1204" t="s">
        <v>1500</v>
      </c>
      <c r="B66" s="1172" t="s">
        <v>1435</v>
      </c>
      <c r="C66" s="24">
        <f ca="1">ROUND(C48*F66,1)</f>
        <v>0</v>
      </c>
      <c r="D66" s="1186" t="s">
        <v>1455</v>
      </c>
      <c r="E66" s="1172" t="s">
        <v>1418</v>
      </c>
      <c r="F66" s="357">
        <f t="shared" ca="1" si="0"/>
        <v>1.4999999999999999E-2</v>
      </c>
      <c r="O66" s="1885" t="s">
        <v>1038</v>
      </c>
      <c r="P66" s="1886" t="s">
        <v>1554</v>
      </c>
      <c r="Q66" s="1887">
        <f ca="1">L60</f>
        <v>0</v>
      </c>
      <c r="R66" s="1887" t="s">
        <v>1577</v>
      </c>
    </row>
    <row r="67" spans="1:18" s="1843" customFormat="1" ht="24.6" thickBot="1">
      <c r="A67" s="1179" t="s">
        <v>1028</v>
      </c>
      <c r="B67" s="1189" t="s">
        <v>1459</v>
      </c>
      <c r="C67" s="361">
        <f ca="1">C48-C58</f>
        <v>-3167</v>
      </c>
      <c r="D67" s="1185" t="s">
        <v>1460</v>
      </c>
      <c r="E67" s="1190"/>
      <c r="F67" s="1191"/>
      <c r="O67" s="1895" t="s">
        <v>1039</v>
      </c>
      <c r="P67" s="1886" t="s">
        <v>1558</v>
      </c>
      <c r="Q67" s="1934">
        <f ca="1">L51</f>
        <v>4310</v>
      </c>
      <c r="R67" s="1887" t="s">
        <v>1578</v>
      </c>
    </row>
    <row r="68" spans="1:18" s="1843" customFormat="1" ht="16.2" thickBot="1">
      <c r="A68" s="1169" t="s">
        <v>1029</v>
      </c>
      <c r="B68" s="1170" t="s">
        <v>1481</v>
      </c>
      <c r="C68" s="346">
        <f ca="1">ROUND(C67*(1-((1+F70)/(1+F68))^F69)/(F68-F70),0)</f>
        <v>-49489</v>
      </c>
      <c r="D68" s="1187" t="s">
        <v>1465</v>
      </c>
      <c r="E68" s="1172" t="s">
        <v>1466</v>
      </c>
      <c r="F68" s="357">
        <f ca="1">F40</f>
        <v>5.5E-2</v>
      </c>
      <c r="O68" s="1895" t="s">
        <v>1040</v>
      </c>
      <c r="P68" s="1935" t="s">
        <v>1579</v>
      </c>
      <c r="Q68" s="1887">
        <f ca="1">ROUND(Q69-Q70*Q71,0)</f>
        <v>259</v>
      </c>
      <c r="R68" s="1887" t="s">
        <v>1048</v>
      </c>
    </row>
    <row r="69" spans="1:18" s="1843" customFormat="1" ht="13.8" thickBot="1">
      <c r="A69" s="1173"/>
      <c r="B69" s="1174"/>
      <c r="C69" s="351"/>
      <c r="D69" s="1192" t="s">
        <v>1469</v>
      </c>
      <c r="E69" s="1172" t="s">
        <v>1470</v>
      </c>
      <c r="F69" s="379">
        <f ca="1">F41</f>
        <v>36.65</v>
      </c>
      <c r="O69" s="1895" t="s">
        <v>1045</v>
      </c>
      <c r="P69" s="1935" t="s">
        <v>1580</v>
      </c>
      <c r="Q69" s="1887">
        <f ca="1">C39</f>
        <v>3076</v>
      </c>
      <c r="R69" s="1887" t="s">
        <v>1525</v>
      </c>
    </row>
    <row r="70" spans="1:18" s="1843" customFormat="1" ht="13.8" thickBot="1">
      <c r="A70" s="1176"/>
      <c r="B70" s="1177"/>
      <c r="C70" s="355"/>
      <c r="D70" s="1188"/>
      <c r="E70" s="1172" t="s">
        <v>1473</v>
      </c>
      <c r="F70" s="1278"/>
      <c r="O70" s="1895" t="s">
        <v>1046</v>
      </c>
      <c r="P70" s="1935" t="s">
        <v>1581</v>
      </c>
      <c r="Q70" s="1887">
        <f ca="1">C13</f>
        <v>33144</v>
      </c>
      <c r="R70" s="1887" t="s">
        <v>1525</v>
      </c>
    </row>
    <row r="71" spans="1:18" s="1843" customFormat="1" ht="13.8" thickBot="1">
      <c r="A71" s="1193" t="s">
        <v>1030</v>
      </c>
      <c r="B71" s="1194" t="s">
        <v>1483</v>
      </c>
      <c r="C71" s="382">
        <f ca="1">ROUND(C68*10000/F71,0)</f>
        <v>-17184</v>
      </c>
      <c r="D71" s="1195" t="s">
        <v>1484</v>
      </c>
      <c r="E71" s="1196" t="s">
        <v>1485</v>
      </c>
      <c r="F71" s="385">
        <f ca="1">F43</f>
        <v>28799.49</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2817</v>
      </c>
      <c r="D75" s="1843"/>
      <c r="E75" s="1843"/>
      <c r="F75" s="1843"/>
      <c r="K75" s="1869"/>
      <c r="L75" s="1843"/>
      <c r="N75" s="1843"/>
      <c r="O75" s="1885" t="s">
        <v>1043</v>
      </c>
      <c r="P75" s="1886" t="s">
        <v>1545</v>
      </c>
      <c r="Q75" s="1887">
        <f ca="1">Q65+Q66</f>
        <v>77536</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8.3999999999999964E-2</v>
      </c>
      <c r="K79" s="1936"/>
      <c r="N79" s="1843"/>
      <c r="O79" s="1843"/>
      <c r="P79" s="1843"/>
      <c r="Q79" s="1843"/>
      <c r="R79" s="1843"/>
    </row>
    <row r="80" spans="1:18" s="302" customFormat="1">
      <c r="B80" s="386" t="s">
        <v>1507</v>
      </c>
      <c r="C80" s="318">
        <f ca="1">ROUND(C75/C39,3)</f>
        <v>0.91600000000000004</v>
      </c>
      <c r="K80" s="1936"/>
      <c r="N80" s="1843"/>
      <c r="O80" s="1843"/>
      <c r="P80" s="1843"/>
      <c r="Q80" s="1843"/>
      <c r="R80" s="1843"/>
    </row>
    <row r="81" spans="2:3" s="302" customFormat="1">
      <c r="B81" s="314" t="s">
        <v>1508</v>
      </c>
      <c r="C81" s="282"/>
    </row>
    <row r="82" spans="2:3" s="302" customFormat="1">
      <c r="B82" s="317" t="s">
        <v>1509</v>
      </c>
      <c r="C82" s="319">
        <f ca="1">1-C83</f>
        <v>0.57299999999999995</v>
      </c>
    </row>
    <row r="83" spans="2:3" s="302" customFormat="1">
      <c r="B83" s="317" t="s">
        <v>1510</v>
      </c>
      <c r="C83" s="318">
        <f ca="1">ROUND(C13/C40,3)</f>
        <v>0.42699999999999999</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20" sqref="I2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3060</v>
      </c>
      <c r="D1" s="1821" t="s">
        <v>70</v>
      </c>
      <c r="E1" s="1822" t="s">
        <v>1383</v>
      </c>
      <c r="F1" s="1286">
        <f ca="1">J53</f>
        <v>36.65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88538</v>
      </c>
      <c r="C2" s="1846" t="s">
        <v>1512</v>
      </c>
      <c r="D2" s="1846"/>
      <c r="E2" s="1847"/>
      <c r="F2" s="1848"/>
      <c r="G2" s="1849"/>
      <c r="H2" s="1841"/>
      <c r="I2" s="1841"/>
      <c r="J2" s="1841"/>
      <c r="K2" s="1842"/>
      <c r="L2" s="1841"/>
      <c r="M2" s="1841"/>
    </row>
    <row r="3" spans="1:37" ht="18" customHeight="1" thickBot="1">
      <c r="A3" s="1850" t="s">
        <v>1513</v>
      </c>
      <c r="B3" s="1851">
        <f ca="1">IF(ISERROR(B2*10000/F43),0,ROUND(B2*10000/F43,0))</f>
        <v>13260</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酒店收入计算!E26</f>
        <v>6328.2999999999993</v>
      </c>
      <c r="D5" s="1823" t="s">
        <v>1398</v>
      </c>
      <c r="E5" s="1296"/>
      <c r="F5" s="1297"/>
      <c r="G5" s="1852"/>
      <c r="H5" s="344">
        <v>1</v>
      </c>
      <c r="I5" s="345" t="s">
        <v>1397</v>
      </c>
      <c r="J5" s="1295">
        <f ca="1">J6+J10+J12</f>
        <v>0</v>
      </c>
      <c r="K5" s="1823" t="s">
        <v>1398</v>
      </c>
      <c r="L5" s="1296"/>
      <c r="M5" s="1297"/>
    </row>
    <row r="6" spans="1:37" ht="18" customHeight="1">
      <c r="A6" s="1294" t="s">
        <v>1032</v>
      </c>
      <c r="B6" s="3156" t="s">
        <v>1399</v>
      </c>
      <c r="C6" s="1299">
        <f ca="1">ROUND(F6*F8*F7*(1-F9)/10000,0)</f>
        <v>0</v>
      </c>
      <c r="D6" s="164" t="s">
        <v>3033</v>
      </c>
      <c r="E6" s="347" t="s">
        <v>1401</v>
      </c>
      <c r="F6" s="348">
        <f ca="1">INDIRECT("'数据-取费表'!u"&amp;$G$1)</f>
        <v>6328.2999999999993</v>
      </c>
      <c r="G6" s="1852"/>
      <c r="H6" s="1294" t="s">
        <v>1032</v>
      </c>
      <c r="I6" s="3156" t="s">
        <v>1399</v>
      </c>
      <c r="J6" s="346">
        <f ca="1">ROUND(M6*M8*M7*(1-M9)/10000,0)</f>
        <v>0</v>
      </c>
      <c r="K6" s="164" t="s">
        <v>3032</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66771.73</v>
      </c>
      <c r="G7" s="1852"/>
      <c r="H7" s="349"/>
      <c r="I7" s="3157"/>
      <c r="J7" s="351"/>
      <c r="K7" s="352"/>
      <c r="L7" s="347" t="s">
        <v>1402</v>
      </c>
      <c r="M7" s="348">
        <f ca="1">F7</f>
        <v>66771.73</v>
      </c>
    </row>
    <row r="8" spans="1:37" ht="18" customHeight="1">
      <c r="A8" s="349"/>
      <c r="B8" s="3157"/>
      <c r="C8" s="351"/>
      <c r="D8" s="352"/>
      <c r="E8" s="347" t="s">
        <v>1403</v>
      </c>
      <c r="F8" s="348">
        <f ca="1">INDIRECT("'数据-取费表'!ai"&amp;$G$1)</f>
        <v>1</v>
      </c>
      <c r="G8" s="1852"/>
      <c r="H8" s="349"/>
      <c r="I8" s="3157"/>
      <c r="J8" s="351"/>
      <c r="K8" s="352"/>
      <c r="L8" s="347" t="s">
        <v>1403</v>
      </c>
      <c r="M8" s="348">
        <f ca="1">INDIRECT("'数据-取费表'!ai"&amp;$G$1)</f>
        <v>1</v>
      </c>
    </row>
    <row r="9" spans="1:37" ht="18" customHeight="1">
      <c r="A9" s="349"/>
      <c r="B9" s="3158"/>
      <c r="C9" s="351"/>
      <c r="D9" s="352"/>
      <c r="E9" s="347" t="s">
        <v>1404</v>
      </c>
      <c r="F9" s="357">
        <f ca="1">INDIRECT("'数据-取费表'!w"&amp;$G$1)</f>
        <v>1</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3042</v>
      </c>
      <c r="E10" s="358" t="s">
        <v>1406</v>
      </c>
      <c r="F10" s="1369" t="s">
        <v>3371</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109852</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72154</v>
      </c>
      <c r="D14" s="1801" t="s">
        <v>1414</v>
      </c>
      <c r="E14" s="1795"/>
      <c r="F14" s="364"/>
      <c r="G14" s="1852"/>
      <c r="H14" s="1204" t="s">
        <v>1032</v>
      </c>
      <c r="I14" s="347" t="s">
        <v>1415</v>
      </c>
      <c r="J14" s="24">
        <f ca="1">C29</f>
        <v>109852</v>
      </c>
      <c r="K14" s="15"/>
      <c r="L14" s="982"/>
      <c r="M14" s="983"/>
    </row>
    <row r="15" spans="1:37" s="1859" customFormat="1" ht="18" customHeight="1" thickBot="1">
      <c r="A15" s="1204" t="s">
        <v>1033</v>
      </c>
      <c r="B15" s="347" t="s">
        <v>1416</v>
      </c>
      <c r="C15" s="24">
        <f ca="1">ROUND(C14*F15,0)</f>
        <v>3608</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2026</v>
      </c>
      <c r="K16" s="1340" t="s">
        <v>1421</v>
      </c>
      <c r="L16" s="1341"/>
      <c r="M16" s="1297"/>
    </row>
    <row r="17" spans="1:37" s="1859" customFormat="1" ht="18" customHeight="1">
      <c r="A17" s="1204" t="s">
        <v>1386</v>
      </c>
      <c r="B17" s="347" t="s">
        <v>1422</v>
      </c>
      <c r="C17" s="24">
        <f ca="1">ROUND(F17*(F43+INDIRECT("'数据-取费表'!S"&amp;$G$1))/10000,0)</f>
        <v>1938</v>
      </c>
      <c r="D17" s="347" t="s">
        <v>1423</v>
      </c>
      <c r="E17" s="347" t="s">
        <v>1424</v>
      </c>
      <c r="F17" s="26">
        <f>'数据-取费表'!B35</f>
        <v>200</v>
      </c>
      <c r="G17" s="1855"/>
      <c r="H17" s="1204" t="s">
        <v>1032</v>
      </c>
      <c r="I17" s="347" t="s">
        <v>1425</v>
      </c>
      <c r="J17" s="24">
        <f ca="1">ROUND(IF(项目基本情况!B11="自然人",J5*M17,J18+J19+J20),1)</f>
        <v>927.5</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1082</v>
      </c>
      <c r="D18" s="347" t="s">
        <v>1417</v>
      </c>
      <c r="E18" s="347" t="s">
        <v>1418</v>
      </c>
      <c r="F18" s="367">
        <f>'数据-取费表'!B36</f>
        <v>1.4999999999999999E-2</v>
      </c>
      <c r="G18" s="1855"/>
      <c r="H18" s="1204"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78782</v>
      </c>
      <c r="D19" s="140" t="s">
        <v>1432</v>
      </c>
      <c r="E19" s="1819"/>
      <c r="F19" s="26"/>
      <c r="G19" s="1852"/>
      <c r="H19" s="1204" t="s">
        <v>1033</v>
      </c>
      <c r="I19" s="347" t="s">
        <v>1433</v>
      </c>
      <c r="J19" s="24">
        <f ca="1">IF(K19="按租金收入计税",ROUND(J5*M19,2),ROUND(C29*M19*0.7,2))</f>
        <v>922.76</v>
      </c>
      <c r="K19" s="1829" t="s">
        <v>1434</v>
      </c>
      <c r="L19" s="347" t="s">
        <v>1418</v>
      </c>
      <c r="M19" s="367">
        <f>IF(K19="按租金收入计税",'数据-取费表'!B51,'数据-取费表'!B50)</f>
        <v>1.2E-2</v>
      </c>
    </row>
    <row r="20" spans="1:37" s="1859" customFormat="1" ht="18" customHeight="1">
      <c r="A20" s="1204" t="s">
        <v>1036</v>
      </c>
      <c r="B20" s="347" t="s">
        <v>1435</v>
      </c>
      <c r="C20" s="24">
        <f ca="1">ROUND(C19*F20,0)</f>
        <v>1576</v>
      </c>
      <c r="D20" s="369" t="s">
        <v>1436</v>
      </c>
      <c r="E20" s="347" t="s">
        <v>1418</v>
      </c>
      <c r="F20" s="367">
        <f>'数据-取费表'!B37</f>
        <v>0.02</v>
      </c>
      <c r="G20" s="1855"/>
      <c r="H20" s="1204" t="s">
        <v>1385</v>
      </c>
      <c r="I20" s="164" t="s">
        <v>1437</v>
      </c>
      <c r="J20" s="25">
        <f ca="1">ROUND(M20*M21/10000,2)</f>
        <v>4.7699999999999996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2650.83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ROUND(J14*M22,1)</f>
        <v>1098.5</v>
      </c>
      <c r="K22" s="1799"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4799</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ROUND(J5*M24,1)</f>
        <v>0</v>
      </c>
      <c r="K24" s="1345" t="s">
        <v>1455</v>
      </c>
      <c r="L24" s="1343" t="s">
        <v>1451</v>
      </c>
      <c r="M24" s="1339">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1819"/>
      <c r="F25" s="26"/>
      <c r="G25" s="1852"/>
      <c r="H25" s="1332" t="s">
        <v>1028</v>
      </c>
      <c r="I25" s="1347" t="s">
        <v>1459</v>
      </c>
      <c r="J25" s="355">
        <f ca="1">J5-J16</f>
        <v>-2026</v>
      </c>
      <c r="K25" s="1348" t="s">
        <v>1460</v>
      </c>
      <c r="L25" s="1349"/>
      <c r="M25" s="1350"/>
    </row>
    <row r="26" spans="1:37">
      <c r="A26" s="1204" t="s">
        <v>1031</v>
      </c>
      <c r="B26" s="347" t="s">
        <v>1461</v>
      </c>
      <c r="C26" s="24">
        <f ca="1">ROUND((C19+C20)*F26,0)</f>
        <v>16072</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109852</v>
      </c>
      <c r="D29" s="1345"/>
      <c r="E29" s="1343"/>
      <c r="F29" s="1346"/>
      <c r="G29" s="1855"/>
      <c r="H29" s="380" t="s">
        <v>1030</v>
      </c>
      <c r="I29" s="381" t="s">
        <v>1475</v>
      </c>
      <c r="J29" s="382">
        <f ca="1">ROUND(J26/(1+F40)^F41,0)</f>
        <v>0</v>
      </c>
      <c r="K29" s="383" t="s">
        <v>1476</v>
      </c>
      <c r="L29" s="384"/>
      <c r="M29" s="385">
        <f ca="1">INDIRECT("'数据-取费表'!k"&amp;$G$1)</f>
        <v>66771.73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2623</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ROUND(IF(项目基本情况!B11="自然人",C5*F31,C32+C33+C34),1)</f>
        <v>1265</v>
      </c>
      <c r="D31" s="1801" t="s">
        <v>1426</v>
      </c>
      <c r="E31" s="1799"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IF(项目基本情况!B11="自然人","——",ROUND(C5*F32/(1+'数据-取费表'!C42),2))</f>
        <v>337.51</v>
      </c>
      <c r="D32" s="1799"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922.76</v>
      </c>
      <c r="D33" s="1829" t="s">
        <v>1434</v>
      </c>
      <c r="E33" s="347" t="s">
        <v>1418</v>
      </c>
      <c r="F33" s="367">
        <f>IF(D33="按票据","——",IF(D33="按租金收入计税",'数据-取费表'!B51,'数据-取费表'!B50))</f>
        <v>1.2E-2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4.7699999999999996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2650.83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1098.5</v>
      </c>
      <c r="D36" s="1799"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164.8</v>
      </c>
      <c r="D37" s="1799" t="s">
        <v>1450</v>
      </c>
      <c r="E37" s="347" t="s">
        <v>1451</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1389</v>
      </c>
      <c r="B38" s="1343" t="s">
        <v>1435</v>
      </c>
      <c r="C38" s="1344">
        <f ca="1">ROUND(C5*F38,1)</f>
        <v>94.9</v>
      </c>
      <c r="D38" s="1345" t="s">
        <v>1455</v>
      </c>
      <c r="E38" s="1343" t="s">
        <v>1451</v>
      </c>
      <c r="F38" s="1339">
        <f ca="1">INDIRECT("'数据-取费表'!Am"&amp;$G$1)</f>
        <v>1.4999999999999999E-2</v>
      </c>
      <c r="G38" s="1852"/>
      <c r="H38" s="1860"/>
      <c r="I38" s="1861"/>
      <c r="J38" s="1862"/>
      <c r="K38" s="1866"/>
      <c r="L38" s="1860"/>
      <c r="M38" s="1860"/>
      <c r="N38" s="1843"/>
      <c r="O38" s="1843"/>
      <c r="P38" s="1843"/>
      <c r="Q38" s="1843"/>
      <c r="R38" s="1843"/>
    </row>
    <row r="39" spans="1:18" s="302" customFormat="1" ht="24.6" customHeight="1" thickTop="1">
      <c r="A39" s="1332" t="s">
        <v>1028</v>
      </c>
      <c r="B39" s="1347" t="s">
        <v>1479</v>
      </c>
      <c r="C39" s="355">
        <f ca="1">C5-C30</f>
        <v>3705.2999999999993</v>
      </c>
      <c r="D39" s="1348" t="s">
        <v>1480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86671</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0.03</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12980</v>
      </c>
      <c r="D43" s="383" t="s">
        <v>1484</v>
      </c>
      <c r="E43" s="384" t="s">
        <v>1485</v>
      </c>
      <c r="F43" s="385">
        <f ca="1">INDIRECT("'数据-取费表'!k"&amp;$G$1)</f>
        <v>66771.73</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-120909</v>
      </c>
      <c r="D46" s="1873" t="str">
        <f>C2</f>
        <v>万元</v>
      </c>
      <c r="E46" s="1867"/>
      <c r="F46" s="1867"/>
      <c r="I46" s="1874" t="s">
        <v>1517</v>
      </c>
      <c r="J46" s="1875"/>
      <c r="K46" s="1876"/>
      <c r="L46" s="1877">
        <f ca="1">IF(M47="住宅",0,IF(L48&gt;J51,L60,J60))</f>
        <v>1867</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86671</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f ca="1">J60</f>
        <v>1867</v>
      </c>
      <c r="R48" s="1887" t="s">
        <v>1529</v>
      </c>
    </row>
    <row r="49" spans="1:18" s="1843" customFormat="1" ht="13.8" thickBot="1">
      <c r="A49" s="1197" t="s">
        <v>1133</v>
      </c>
      <c r="B49" s="1830" t="s">
        <v>1486</v>
      </c>
      <c r="C49" s="1367">
        <f ca="1">ROUND(F49*F51*F50*(1-F52)/10000,0)</f>
        <v>0</v>
      </c>
      <c r="D49" s="1279" t="s">
        <v>3034</v>
      </c>
      <c r="E49" s="1831" t="s">
        <v>1487</v>
      </c>
      <c r="F49" s="1284"/>
      <c r="G49" s="1892"/>
      <c r="H49" s="793"/>
      <c r="I49" s="1888" t="s">
        <v>1530</v>
      </c>
      <c r="J49" s="1893">
        <v>2018</v>
      </c>
      <c r="K49" s="1890" t="s">
        <v>1531</v>
      </c>
      <c r="L49" s="1894"/>
      <c r="O49" s="1895" t="s">
        <v>1039</v>
      </c>
      <c r="P49" s="1886" t="s">
        <v>1532</v>
      </c>
      <c r="Q49" s="1887">
        <f ca="1">C29</f>
        <v>109852</v>
      </c>
      <c r="R49" s="1887" t="s">
        <v>1525</v>
      </c>
    </row>
    <row r="50" spans="1:18" s="1843" customFormat="1" ht="13.8" thickBot="1">
      <c r="A50" s="1198"/>
      <c r="B50" s="1201"/>
      <c r="C50" s="1371"/>
      <c r="D50" s="1175"/>
      <c r="E50" s="1280" t="s">
        <v>1402</v>
      </c>
      <c r="F50" s="1281">
        <f ca="1">F7</f>
        <v>66771.73</v>
      </c>
      <c r="H50" s="793"/>
      <c r="I50" s="1888" t="s">
        <v>1533</v>
      </c>
      <c r="J50" s="1896">
        <f>SUMPRODUCT((I63:I65=J47)*(J62:L62=J48)*(J63:L65))</f>
        <v>60</v>
      </c>
      <c r="K50" s="1890" t="s">
        <v>1534</v>
      </c>
      <c r="L50" s="1894"/>
      <c r="M50" s="1897"/>
      <c r="O50" s="1895" t="s">
        <v>1040</v>
      </c>
      <c r="P50" s="1886" t="s">
        <v>1535</v>
      </c>
      <c r="Q50" s="1898">
        <f ca="1">J58</f>
        <v>0.4</v>
      </c>
      <c r="R50" s="1887"/>
    </row>
    <row r="51" spans="1:18" s="1843" customFormat="1" ht="13.8" thickBot="1">
      <c r="A51" s="1199"/>
      <c r="B51" s="1201"/>
      <c r="C51" s="1202"/>
      <c r="D51" s="1175"/>
      <c r="E51" s="1203" t="s">
        <v>1403</v>
      </c>
      <c r="F51" s="348">
        <f ca="1">F8</f>
        <v>1</v>
      </c>
      <c r="I51" s="1899" t="s">
        <v>1536</v>
      </c>
      <c r="J51" s="1900">
        <f>IF(J49="",J50,J49+J50-YEAR('数据-取费表'!B2))</f>
        <v>59</v>
      </c>
      <c r="K51" s="1901" t="s">
        <v>1537</v>
      </c>
      <c r="L51" s="1902">
        <f ca="1">ROUND(-PV(INDIRECT("'数据-取费表'!h"&amp;$G$1),L48,(C39-C13*C76),0),0)</f>
        <v>-93801</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59" t="s">
        <v>1544</v>
      </c>
      <c r="L53" s="3160"/>
      <c r="O53" s="1885" t="s">
        <v>1043</v>
      </c>
      <c r="P53" s="1886" t="s">
        <v>1545</v>
      </c>
      <c r="Q53" s="1887">
        <f ca="1">Q47+Q48</f>
        <v>88538</v>
      </c>
      <c r="R53" s="1887" t="s">
        <v>1044</v>
      </c>
    </row>
    <row r="54" spans="1:18" s="1843" customFormat="1" ht="24.6"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f ca="1">ROUND(IF(J47="钢混",J57/J50,1-(1-2%)*(J50-J57)/J50),3)</f>
        <v>0.373</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109852</v>
      </c>
      <c r="D56" s="1915"/>
      <c r="E56" s="1916"/>
      <c r="F56" s="1908"/>
      <c r="I56" s="1917" t="s">
        <v>1550</v>
      </c>
      <c r="J56" s="1918" t="s">
        <v>3384</v>
      </c>
      <c r="K56" s="1888" t="s">
        <v>1551</v>
      </c>
      <c r="L56" s="1891" t="str">
        <f ca="1">IF(L48&lt;J51,"——",L48-J53)</f>
        <v>——</v>
      </c>
      <c r="O56" s="1885" t="s">
        <v>1037</v>
      </c>
      <c r="P56" s="1886" t="s">
        <v>1524</v>
      </c>
      <c r="Q56" s="1887">
        <f ca="1">C40+J29</f>
        <v>86671</v>
      </c>
      <c r="R56" s="1887" t="s">
        <v>1525</v>
      </c>
    </row>
    <row r="57" spans="1:18" s="1843" customFormat="1" ht="24.6" thickBot="1">
      <c r="A57" s="1919"/>
      <c r="B57" s="1172" t="s">
        <v>1474</v>
      </c>
      <c r="C57" s="282">
        <f ca="1">C29</f>
        <v>109852</v>
      </c>
      <c r="D57" s="1920"/>
      <c r="E57" s="1921"/>
      <c r="F57" s="1922"/>
      <c r="I57" s="1923" t="s">
        <v>1552</v>
      </c>
      <c r="J57" s="1924">
        <f ca="1">IF(OR(M47="住宅",J51&lt;L48,J56="是"),"——",J51-L48)</f>
        <v>22.35</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2191</v>
      </c>
      <c r="D58" s="1182" t="s">
        <v>1421</v>
      </c>
      <c r="E58" s="1183"/>
      <c r="F58" s="1184"/>
      <c r="I58" s="1923" t="s">
        <v>1556</v>
      </c>
      <c r="J58" s="1925">
        <f ca="1">IF(J55&lt;0.4,0.4,J55)</f>
        <v>0.4</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927.5</v>
      </c>
      <c r="D59" s="1185" t="s">
        <v>1426</v>
      </c>
      <c r="E59" s="1186" t="s">
        <v>1427</v>
      </c>
      <c r="F59" s="368">
        <f ca="1">IF(项目基本情况!B11="企业","",IF(INDIRECT("'数据-取费表'!c"&amp;$G$1)="住宅",5%,IF(F49*F50*F51/12/(1+'数据-取费表'!C42)&gt;20000,12%,7%)))</f>
        <v>7.0000000000000007E-2</v>
      </c>
      <c r="I59" s="1923" t="s">
        <v>1559</v>
      </c>
      <c r="J59" s="1924">
        <f ca="1">IF(OR(M47="住宅",J51&lt;L48,J56="是"),"——",ROUND(C29*J58,0))</f>
        <v>43941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f ca="1">IF(OR(M47="住宅",J51&lt;L48,J56="是"),"0",ROUND(J59/(1+J52)^J53,0))</f>
        <v>1867</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IF(项目基本情况!B11="自然人","——",IF(D61="按租金收入计税",ROUND(C48*F61,2),IF(D61="按房产原值计税",ROUND(C57*F61*0.7,2),INDIRECT("'数据-取费表'!Aj"&amp;$G$1))))</f>
        <v>922.76</v>
      </c>
      <c r="D61" s="1829" t="s">
        <v>1434</v>
      </c>
      <c r="E61" s="1172" t="s">
        <v>1490</v>
      </c>
      <c r="F61" s="367">
        <f t="shared" si="0"/>
        <v>1.2E-2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1492</v>
      </c>
      <c r="C62" s="25">
        <f ca="1">IF(项目基本情况!B11="自然人","——",ROUND(F62*F63/10000,2))</f>
        <v>4.7699999999999996</v>
      </c>
      <c r="D62" s="1187" t="s">
        <v>1493</v>
      </c>
      <c r="E62" s="1172" t="s">
        <v>1494</v>
      </c>
      <c r="F62" s="371">
        <f t="shared" si="0"/>
        <v>18</v>
      </c>
      <c r="I62" s="1930" t="s">
        <v>1566</v>
      </c>
      <c r="J62" s="1931" t="s">
        <v>1567</v>
      </c>
      <c r="K62" s="1931" t="s">
        <v>1568</v>
      </c>
      <c r="L62" s="1931" t="s">
        <v>1569</v>
      </c>
      <c r="M62" s="1932" t="s">
        <v>1570</v>
      </c>
      <c r="O62" s="1885" t="s">
        <v>1043</v>
      </c>
      <c r="P62" s="1886" t="s">
        <v>1571</v>
      </c>
      <c r="Q62" s="1887">
        <f ca="1">Q56+Q57</f>
        <v>86671</v>
      </c>
      <c r="R62" s="1887" t="s">
        <v>1044</v>
      </c>
    </row>
    <row r="63" spans="1:18" s="1843" customFormat="1" ht="13.8" thickBot="1">
      <c r="A63" s="372"/>
      <c r="B63" s="1178"/>
      <c r="C63" s="29"/>
      <c r="D63" s="1188"/>
      <c r="E63" s="1172" t="s">
        <v>1495</v>
      </c>
      <c r="F63" s="348">
        <f t="shared" ca="1" si="0"/>
        <v>2650.83</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ROUND(C57*F64,1)</f>
        <v>1098.5</v>
      </c>
      <c r="D64" s="1186" t="s">
        <v>1498</v>
      </c>
      <c r="E64" s="1172" t="s">
        <v>1490</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164.8</v>
      </c>
      <c r="D65" s="1186" t="s">
        <v>1450</v>
      </c>
      <c r="E65" s="1172" t="s">
        <v>1451</v>
      </c>
      <c r="F65" s="376">
        <f t="shared" ca="1" si="0"/>
        <v>1.5E-3</v>
      </c>
      <c r="I65" s="1930" t="s">
        <v>1575</v>
      </c>
      <c r="J65" s="1931">
        <v>40</v>
      </c>
      <c r="K65" s="1931">
        <v>30</v>
      </c>
      <c r="L65" s="1931">
        <v>50</v>
      </c>
      <c r="M65" s="1933">
        <v>0.02</v>
      </c>
      <c r="O65" s="1885" t="s">
        <v>1037</v>
      </c>
      <c r="P65" s="1886" t="s">
        <v>1576</v>
      </c>
      <c r="Q65" s="1887">
        <f ca="1">C40+J29</f>
        <v>86671</v>
      </c>
      <c r="R65" s="1887" t="s">
        <v>1525</v>
      </c>
    </row>
    <row r="66" spans="1:18" s="1843" customFormat="1" ht="16.2" thickBot="1">
      <c r="A66" s="1204" t="s">
        <v>1500</v>
      </c>
      <c r="B66" s="1172" t="s">
        <v>1435</v>
      </c>
      <c r="C66" s="24">
        <f ca="1">ROUND(C48*F66,1)</f>
        <v>0</v>
      </c>
      <c r="D66" s="1186" t="s">
        <v>1501</v>
      </c>
      <c r="E66" s="1172" t="s">
        <v>1418</v>
      </c>
      <c r="F66" s="357">
        <f t="shared" ca="1" si="0"/>
        <v>1.4999999999999999E-2</v>
      </c>
      <c r="O66" s="1885" t="s">
        <v>1038</v>
      </c>
      <c r="P66" s="1886" t="s">
        <v>1554</v>
      </c>
      <c r="Q66" s="1887">
        <f ca="1">L60</f>
        <v>0</v>
      </c>
      <c r="R66" s="1887" t="s">
        <v>1577</v>
      </c>
    </row>
    <row r="67" spans="1:18" s="1843" customFormat="1" ht="24.6" thickBot="1">
      <c r="A67" s="1179" t="s">
        <v>1028</v>
      </c>
      <c r="B67" s="1189" t="s">
        <v>1459</v>
      </c>
      <c r="C67" s="361">
        <f ca="1">C48-C58</f>
        <v>-2191</v>
      </c>
      <c r="D67" s="1185" t="s">
        <v>1460</v>
      </c>
      <c r="E67" s="1190"/>
      <c r="F67" s="1191"/>
      <c r="O67" s="1895" t="s">
        <v>1039</v>
      </c>
      <c r="P67" s="1886" t="s">
        <v>1558</v>
      </c>
      <c r="Q67" s="1934">
        <f ca="1">L51</f>
        <v>-93801</v>
      </c>
      <c r="R67" s="1887" t="s">
        <v>1578</v>
      </c>
    </row>
    <row r="68" spans="1:18" s="1843" customFormat="1" ht="16.2" thickBot="1">
      <c r="A68" s="1169" t="s">
        <v>1029</v>
      </c>
      <c r="B68" s="1170" t="s">
        <v>1481</v>
      </c>
      <c r="C68" s="346">
        <f ca="1">ROUND(C67*(1-((1+F70)/(1+F68))^F69)/(F68-F70),0)</f>
        <v>-34238</v>
      </c>
      <c r="D68" s="1187" t="s">
        <v>1465</v>
      </c>
      <c r="E68" s="1172" t="s">
        <v>1466</v>
      </c>
      <c r="F68" s="357">
        <f ca="1">F40</f>
        <v>5.5E-2</v>
      </c>
      <c r="O68" s="1895" t="s">
        <v>1040</v>
      </c>
      <c r="P68" s="1935" t="s">
        <v>1579</v>
      </c>
      <c r="Q68" s="1887">
        <f ca="1">ROUND(Q69-Q70*Q71,0)</f>
        <v>-5632</v>
      </c>
      <c r="R68" s="1887" t="s">
        <v>1048</v>
      </c>
    </row>
    <row r="69" spans="1:18" s="1843" customFormat="1" ht="13.8" thickBot="1">
      <c r="A69" s="1173"/>
      <c r="B69" s="1174"/>
      <c r="C69" s="351"/>
      <c r="D69" s="1192" t="s">
        <v>1469</v>
      </c>
      <c r="E69" s="1172" t="s">
        <v>1470</v>
      </c>
      <c r="F69" s="379">
        <f ca="1">F41</f>
        <v>36.65</v>
      </c>
      <c r="O69" s="1895" t="s">
        <v>1045</v>
      </c>
      <c r="P69" s="1935" t="s">
        <v>1580</v>
      </c>
      <c r="Q69" s="1887">
        <f ca="1">C39</f>
        <v>3705.2999999999993</v>
      </c>
      <c r="R69" s="1887" t="s">
        <v>1525</v>
      </c>
    </row>
    <row r="70" spans="1:18" s="1843" customFormat="1" ht="13.8" thickBot="1">
      <c r="A70" s="1176"/>
      <c r="B70" s="1177"/>
      <c r="C70" s="355"/>
      <c r="D70" s="1188"/>
      <c r="E70" s="1172" t="s">
        <v>1473</v>
      </c>
      <c r="F70" s="1278"/>
      <c r="O70" s="1895" t="s">
        <v>1046</v>
      </c>
      <c r="P70" s="1935" t="s">
        <v>1581</v>
      </c>
      <c r="Q70" s="1887">
        <f ca="1">C13</f>
        <v>109852</v>
      </c>
      <c r="R70" s="1887" t="s">
        <v>1525</v>
      </c>
    </row>
    <row r="71" spans="1:18" s="1843" customFormat="1" ht="13.8" thickBot="1">
      <c r="A71" s="1193" t="s">
        <v>1030</v>
      </c>
      <c r="B71" s="1194" t="s">
        <v>1483</v>
      </c>
      <c r="C71" s="382">
        <f ca="1">ROUND(C68*10000/F71,0)</f>
        <v>-5128</v>
      </c>
      <c r="D71" s="1195" t="s">
        <v>1484</v>
      </c>
      <c r="E71" s="1196" t="s">
        <v>1485</v>
      </c>
      <c r="F71" s="385">
        <f ca="1">F43</f>
        <v>66771.73</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9337</v>
      </c>
      <c r="D75" s="1843"/>
      <c r="E75" s="1843"/>
      <c r="F75" s="1843"/>
      <c r="K75" s="1869"/>
      <c r="L75" s="1843"/>
      <c r="N75" s="1843"/>
      <c r="O75" s="1885" t="s">
        <v>1043</v>
      </c>
      <c r="P75" s="1886" t="s">
        <v>1545</v>
      </c>
      <c r="Q75" s="1887">
        <f ca="1">Q65+Q66</f>
        <v>86671</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-1.52</v>
      </c>
      <c r="K79" s="1936"/>
      <c r="N79" s="1843"/>
      <c r="O79" s="1843"/>
      <c r="P79" s="1843"/>
      <c r="Q79" s="1843"/>
      <c r="R79" s="1843"/>
    </row>
    <row r="80" spans="1:18" s="302" customFormat="1">
      <c r="B80" s="386" t="s">
        <v>1507</v>
      </c>
      <c r="C80" s="318">
        <f ca="1">ROUND(C75/C39,3)</f>
        <v>2.52</v>
      </c>
      <c r="K80" s="1936"/>
      <c r="N80" s="1843"/>
      <c r="O80" s="1843"/>
      <c r="P80" s="1843"/>
      <c r="Q80" s="1843"/>
      <c r="R80" s="1843"/>
    </row>
    <row r="81" spans="2:3" s="302" customFormat="1">
      <c r="B81" s="314" t="s">
        <v>1508</v>
      </c>
      <c r="C81" s="282"/>
    </row>
    <row r="82" spans="2:3" s="302" customFormat="1">
      <c r="B82" s="317" t="s">
        <v>1509</v>
      </c>
      <c r="C82" s="319">
        <f ca="1">1-C83</f>
        <v>-0.2669999999999999</v>
      </c>
    </row>
    <row r="83" spans="2:3" s="302" customFormat="1">
      <c r="B83" s="317" t="s">
        <v>1510</v>
      </c>
      <c r="C83" s="318">
        <f ca="1">ROUND(C13/C40,3)</f>
        <v>1.2669999999999999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c r="D1" s="1821"/>
      <c r="E1" s="1822" t="s">
        <v>1383</v>
      </c>
      <c r="F1" s="1286" t="b">
        <f>J53</f>
        <v>0</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5">
        <f ca="1">C6+C10+C12</f>
        <v>0</v>
      </c>
      <c r="D5" s="1823" t="s">
        <v>1597</v>
      </c>
      <c r="E5" s="1296"/>
      <c r="F5" s="1297"/>
      <c r="G5" s="1852"/>
      <c r="H5" s="344">
        <v>1</v>
      </c>
      <c r="I5" s="345" t="s">
        <v>1596</v>
      </c>
      <c r="J5" s="1295">
        <f ca="1">J6+J10+J12</f>
        <v>0</v>
      </c>
      <c r="K5" s="1823" t="s">
        <v>1597</v>
      </c>
      <c r="L5" s="1296"/>
      <c r="M5" s="1297"/>
    </row>
    <row r="6" spans="1:37" ht="18" customHeight="1">
      <c r="A6" s="1294" t="s">
        <v>1032</v>
      </c>
      <c r="B6" s="3156" t="s">
        <v>1399</v>
      </c>
      <c r="C6" s="1299">
        <f ca="1">ROUND(F6*F8*F7*(1-F9),0)</f>
        <v>0</v>
      </c>
      <c r="D6" s="164" t="s">
        <v>3030</v>
      </c>
      <c r="E6" s="347" t="s">
        <v>1401</v>
      </c>
      <c r="F6" s="348">
        <f ca="1">INDIRECT("'数据-取费表'!u"&amp;$G$1)</f>
        <v>0</v>
      </c>
      <c r="G6" s="1852"/>
      <c r="H6" s="1294" t="s">
        <v>1032</v>
      </c>
      <c r="I6" s="3156" t="s">
        <v>1399</v>
      </c>
      <c r="J6" s="346">
        <f ca="1">ROUND(M6*M8*M7*(1-M9),0)</f>
        <v>0</v>
      </c>
      <c r="K6" s="1835" t="s">
        <v>3031</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0</v>
      </c>
      <c r="G7" s="1852"/>
      <c r="H7" s="349"/>
      <c r="I7" s="3157"/>
      <c r="J7" s="351"/>
      <c r="K7" s="352"/>
      <c r="L7" s="347" t="s">
        <v>1402</v>
      </c>
      <c r="M7" s="348">
        <f ca="1">F7</f>
        <v>0</v>
      </c>
    </row>
    <row r="8" spans="1:37" ht="18" customHeight="1">
      <c r="A8" s="349"/>
      <c r="B8" s="3157"/>
      <c r="C8" s="351"/>
      <c r="D8" s="352"/>
      <c r="E8" s="347" t="s">
        <v>1403</v>
      </c>
      <c r="F8" s="348">
        <f ca="1">INDIRECT("'数据-取费表'!ai"&amp;$G$1)</f>
        <v>0</v>
      </c>
      <c r="G8" s="1852"/>
      <c r="H8" s="349"/>
      <c r="I8" s="3157"/>
      <c r="J8" s="351"/>
      <c r="K8" s="352"/>
      <c r="L8" s="347" t="s">
        <v>1403</v>
      </c>
      <c r="M8" s="348">
        <f ca="1">INDIRECT("'数据-取费表'!ai"&amp;$G$1)</f>
        <v>0</v>
      </c>
    </row>
    <row r="9" spans="1:37" ht="18" customHeight="1">
      <c r="A9" s="349"/>
      <c r="B9" s="3158"/>
      <c r="C9" s="351"/>
      <c r="D9" s="352"/>
      <c r="E9" s="347" t="s">
        <v>1404</v>
      </c>
      <c r="F9" s="357">
        <f ca="1">INDIRECT("'数据-取费表'!w"&amp;$G$1)</f>
        <v>0</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3041</v>
      </c>
      <c r="E10" s="358" t="s">
        <v>1406</v>
      </c>
      <c r="F10" s="1369"/>
      <c r="G10" s="1852"/>
      <c r="H10" s="1294" t="s">
        <v>1036</v>
      </c>
      <c r="I10" s="1824" t="s">
        <v>1405</v>
      </c>
      <c r="J10" s="346">
        <f ca="1">ROUND(IF(M10="押一",J6/12*M11,IF(M10="押二",J6/12*2*M11,IF(M10="押三",J6/12*3*M11,J11*M11))),0)</f>
        <v>0</v>
      </c>
      <c r="K10" s="1836" t="s">
        <v>3043</v>
      </c>
      <c r="L10" s="358" t="s">
        <v>1406</v>
      </c>
      <c r="M10" s="1369"/>
    </row>
    <row r="11" spans="1:37" ht="18" customHeight="1">
      <c r="A11" s="353"/>
      <c r="B11" s="1826" t="s">
        <v>1598</v>
      </c>
      <c r="C11" s="1181"/>
      <c r="D11" s="352"/>
      <c r="E11" s="358" t="s">
        <v>1408</v>
      </c>
      <c r="F11" s="359">
        <f ca="1">'数据-取费表'!B39</f>
        <v>1.4999999999999999E-2</v>
      </c>
      <c r="G11" s="1852"/>
      <c r="H11" s="1302"/>
      <c r="I11" s="1826" t="s">
        <v>1599</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2"/>
      <c r="H13" s="1332">
        <v>2</v>
      </c>
      <c r="I13" s="1333" t="s">
        <v>1410</v>
      </c>
      <c r="J13" s="1293">
        <f ca="1">ROUND(J14*J15,0)</f>
        <v>0</v>
      </c>
      <c r="K13" s="1340" t="s">
        <v>1411</v>
      </c>
      <c r="L13" s="1853"/>
      <c r="M13" s="1854"/>
    </row>
    <row r="14" spans="1:37" ht="18" customHeight="1">
      <c r="A14" s="1204" t="s">
        <v>1031</v>
      </c>
      <c r="B14" s="347" t="s">
        <v>1413</v>
      </c>
      <c r="C14" s="363">
        <f ca="1">ROUND(INDIRECT("'数据-取费表'!l"&amp;$G$1)*F43+'数据-取费表'!L14*INDIRECT("'数据-取费表'!S"&amp;$G$1),0)</f>
        <v>0</v>
      </c>
      <c r="D14" s="1801" t="s">
        <v>1414</v>
      </c>
      <c r="E14" s="1795"/>
      <c r="F14" s="364"/>
      <c r="G14" s="1852"/>
      <c r="H14" s="1204" t="s">
        <v>1032</v>
      </c>
      <c r="I14" s="347" t="s">
        <v>1415</v>
      </c>
      <c r="J14" s="24">
        <f ca="1">C29</f>
        <v>0</v>
      </c>
      <c r="K14" s="15"/>
      <c r="L14" s="982"/>
      <c r="M14" s="983"/>
    </row>
    <row r="15" spans="1:37" s="1859" customFormat="1" ht="18" customHeight="1" thickBot="1">
      <c r="A15" s="1204" t="s">
        <v>1033</v>
      </c>
      <c r="B15" s="347" t="s">
        <v>1416</v>
      </c>
      <c r="C15" s="24">
        <f ca="1">ROUND(C14*F15,0)</f>
        <v>0</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2"/>
      <c r="H16" s="1332" t="s">
        <v>1027</v>
      </c>
      <c r="I16" s="1333" t="s">
        <v>1420</v>
      </c>
      <c r="J16" s="355">
        <f ca="1">ROUND(J17+J22+J23+J24,0)</f>
        <v>0</v>
      </c>
      <c r="K16" s="1340" t="s">
        <v>1421</v>
      </c>
      <c r="L16" s="1341"/>
      <c r="M16" s="1297"/>
    </row>
    <row r="17" spans="1:37" s="1859" customFormat="1" ht="18" customHeight="1">
      <c r="A17" s="1204" t="s">
        <v>1386</v>
      </c>
      <c r="B17" s="347" t="s">
        <v>1422</v>
      </c>
      <c r="C17" s="24">
        <f ca="1">ROUND(F17*(F43+INDIRECT("'数据-取费表'!S"&amp;$G$1)),0)</f>
        <v>0</v>
      </c>
      <c r="D17" s="347" t="s">
        <v>1423</v>
      </c>
      <c r="E17" s="347" t="s">
        <v>1424</v>
      </c>
      <c r="F17" s="26">
        <f>'数据-取费表'!B35</f>
        <v>200</v>
      </c>
      <c r="G17" s="1855"/>
      <c r="H17" s="1204"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0</v>
      </c>
      <c r="D18" s="347" t="s">
        <v>1417</v>
      </c>
      <c r="E18" s="347" t="s">
        <v>1418</v>
      </c>
      <c r="F18" s="367">
        <f>'数据-取费表'!B36</f>
        <v>1.4999999999999999E-2</v>
      </c>
      <c r="G18" s="1855"/>
      <c r="H18" s="1204"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0</v>
      </c>
      <c r="D19" s="140" t="s">
        <v>1432</v>
      </c>
      <c r="E19" s="1819"/>
      <c r="F19" s="26"/>
      <c r="G19" s="1852"/>
      <c r="H19" s="1204"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4" t="s">
        <v>1036</v>
      </c>
      <c r="B20" s="347" t="s">
        <v>1435</v>
      </c>
      <c r="C20" s="24">
        <f ca="1">ROUND(C19*F20,0)</f>
        <v>0</v>
      </c>
      <c r="D20" s="369" t="s">
        <v>1436</v>
      </c>
      <c r="E20" s="347" t="s">
        <v>1418</v>
      </c>
      <c r="F20" s="367">
        <f>'数据-取费表'!B37</f>
        <v>0.02</v>
      </c>
      <c r="G20" s="1855"/>
      <c r="H20" s="1204" t="s">
        <v>1385</v>
      </c>
      <c r="I20" s="164" t="s">
        <v>1437</v>
      </c>
      <c r="J20" s="25">
        <f ca="1">ROUND(M20*M21,0)</f>
        <v>0</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ROUND(J14*M22,0)</f>
        <v>0</v>
      </c>
      <c r="K22" s="1799" t="s">
        <v>1446</v>
      </c>
      <c r="L22" s="347" t="s">
        <v>1418</v>
      </c>
      <c r="M22" s="374">
        <f ca="1">INDIRECT("'数据-取费表'!Ak"&amp;$G$1)</f>
        <v>0</v>
      </c>
    </row>
    <row r="23" spans="1:37" s="1859"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ROUND(J5*M24,0)</f>
        <v>0</v>
      </c>
      <c r="K24" s="1345" t="s">
        <v>1455</v>
      </c>
      <c r="L24" s="1343" t="s">
        <v>1451</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1456</v>
      </c>
      <c r="B25" s="347" t="s">
        <v>1457</v>
      </c>
      <c r="C25" s="24"/>
      <c r="D25" s="140" t="s">
        <v>1458</v>
      </c>
      <c r="E25" s="1819"/>
      <c r="F25" s="26"/>
      <c r="G25" s="1852"/>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0</v>
      </c>
      <c r="D29" s="1345"/>
      <c r="E29" s="1343"/>
      <c r="F29" s="1346"/>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0</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5"/>
      <c r="I31" s="746"/>
      <c r="J31" s="747"/>
      <c r="K31" s="748"/>
      <c r="L31" s="749"/>
      <c r="M31" s="750"/>
    </row>
    <row r="32" spans="1:37" ht="18" customHeight="1">
      <c r="A32" s="1204" t="s">
        <v>1031</v>
      </c>
      <c r="B32" s="347" t="s">
        <v>1429</v>
      </c>
      <c r="C32" s="24">
        <f ca="1">IF(项目基本情况!B11="自然人","——",ROUND(C5*F32/(1+'数据-取费表'!C42),0))</f>
        <v>0</v>
      </c>
      <c r="D32" s="1799" t="s">
        <v>1430</v>
      </c>
      <c r="E32" s="347" t="s">
        <v>1418</v>
      </c>
      <c r="F32" s="377">
        <f>'数据-取费表'!B41</f>
        <v>5.6000000000000001E-2</v>
      </c>
      <c r="G32" s="1852"/>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4" t="s">
        <v>1385</v>
      </c>
      <c r="B34" s="164" t="s">
        <v>1437</v>
      </c>
      <c r="C34" s="25">
        <f ca="1">IF(项目基本情况!B11="自然人","——",ROUND(F34*F35,))</f>
        <v>0</v>
      </c>
      <c r="D34" s="370" t="s">
        <v>1438</v>
      </c>
      <c r="E34" s="347" t="s">
        <v>1439</v>
      </c>
      <c r="F34" s="371">
        <f>'数据-取费表'!B52</f>
        <v>18</v>
      </c>
      <c r="G34" s="1852"/>
      <c r="H34" s="745"/>
      <c r="I34" s="1861"/>
      <c r="J34" s="1862"/>
      <c r="K34" s="1864"/>
      <c r="L34" s="1865"/>
      <c r="M34" s="1865"/>
    </row>
    <row r="35" spans="1:18" ht="18" customHeight="1">
      <c r="A35" s="1356"/>
      <c r="B35" s="1354"/>
      <c r="C35" s="29"/>
      <c r="D35" s="373"/>
      <c r="E35" s="347" t="s">
        <v>1443</v>
      </c>
      <c r="F35" s="348">
        <f ca="1">INDIRECT("'数据-取费表'!r"&amp;$G$1)</f>
        <v>0</v>
      </c>
      <c r="G35" s="1852"/>
      <c r="H35" s="745"/>
      <c r="I35" s="1861"/>
      <c r="J35" s="1862"/>
      <c r="K35" s="1863"/>
      <c r="L35" s="1860"/>
      <c r="M35" s="1860"/>
    </row>
    <row r="36" spans="1:18" ht="18" customHeight="1">
      <c r="A36" s="1355" t="s">
        <v>1036</v>
      </c>
      <c r="B36" s="347" t="s">
        <v>1445</v>
      </c>
      <c r="C36" s="24">
        <f ca="1">ROUND(C29*F36,0)</f>
        <v>0</v>
      </c>
      <c r="D36" s="1799" t="s">
        <v>1478</v>
      </c>
      <c r="E36" s="347" t="s">
        <v>1418</v>
      </c>
      <c r="F36" s="374">
        <f ca="1">INDIRECT("'数据-取费表'!Ak"&amp;$G$1)</f>
        <v>0</v>
      </c>
      <c r="G36" s="1852"/>
      <c r="H36" s="1860"/>
      <c r="I36" s="1861"/>
      <c r="J36" s="1862"/>
      <c r="K36" s="751"/>
      <c r="L36" s="1860"/>
      <c r="M36" s="1860"/>
    </row>
    <row r="37" spans="1:18" ht="18" customHeight="1">
      <c r="A37" s="1204" t="s">
        <v>1072</v>
      </c>
      <c r="B37" s="347" t="s">
        <v>1449</v>
      </c>
      <c r="C37" s="24">
        <f ca="1">ROUND(C13*F37,0)</f>
        <v>0</v>
      </c>
      <c r="D37" s="1799" t="s">
        <v>1450</v>
      </c>
      <c r="E37" s="347" t="s">
        <v>1451</v>
      </c>
      <c r="F37" s="376">
        <f ca="1">INDIRECT("'数据-取费表'!Al"&amp;$G$1)</f>
        <v>0</v>
      </c>
      <c r="G37" s="1852"/>
      <c r="H37" s="1860"/>
      <c r="I37" s="1861"/>
      <c r="J37" s="1862"/>
      <c r="K37" s="751"/>
      <c r="L37" s="1860"/>
      <c r="M37" s="1860"/>
    </row>
    <row r="38" spans="1:18" ht="18" customHeight="1" thickBot="1">
      <c r="A38" s="1342" t="s">
        <v>1389</v>
      </c>
      <c r="B38" s="1343" t="s">
        <v>1435</v>
      </c>
      <c r="C38" s="1344">
        <f ca="1">ROUND(C5*F38,1)</f>
        <v>0</v>
      </c>
      <c r="D38" s="1345" t="s">
        <v>1455</v>
      </c>
      <c r="E38" s="1343" t="s">
        <v>1451</v>
      </c>
      <c r="F38" s="1339">
        <f ca="1">INDIRECT("'数据-取费表'!Am"&amp;$G$1)</f>
        <v>0</v>
      </c>
      <c r="G38" s="1852"/>
      <c r="H38" s="1860"/>
      <c r="I38" s="1861"/>
      <c r="J38" s="1862"/>
      <c r="K38" s="1866"/>
      <c r="L38" s="1860"/>
      <c r="M38" s="1860"/>
    </row>
    <row r="39" spans="1:18" ht="24.6" customHeight="1" thickTop="1">
      <c r="A39" s="1332" t="s">
        <v>1028</v>
      </c>
      <c r="B39" s="1347" t="s">
        <v>1479</v>
      </c>
      <c r="C39" s="355">
        <f ca="1">C5-C30</f>
        <v>0</v>
      </c>
      <c r="D39" s="1348" t="s">
        <v>1480</v>
      </c>
      <c r="E39" s="1349"/>
      <c r="F39" s="1350"/>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8"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8" t="s">
        <v>1392</v>
      </c>
      <c r="B47" s="1200" t="s">
        <v>1393</v>
      </c>
      <c r="C47" s="1200" t="s">
        <v>1394</v>
      </c>
      <c r="D47" s="1200" t="s">
        <v>1395</v>
      </c>
      <c r="E47" s="1282" t="s">
        <v>1396</v>
      </c>
      <c r="F47" s="1283"/>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7" t="s">
        <v>1133</v>
      </c>
      <c r="B49" s="1830" t="s">
        <v>1486</v>
      </c>
      <c r="C49" s="1367">
        <f ca="1">ROUND(F49*F51*F50*(1-F52),0)</f>
        <v>0</v>
      </c>
      <c r="D49" s="1279" t="s">
        <v>1400</v>
      </c>
      <c r="E49" s="1831" t="s">
        <v>1487</v>
      </c>
      <c r="F49" s="1284"/>
      <c r="G49" s="1892"/>
      <c r="H49" s="793"/>
      <c r="I49" s="1888" t="s">
        <v>1530</v>
      </c>
      <c r="J49" s="1893"/>
      <c r="K49" s="1890" t="s">
        <v>1531</v>
      </c>
      <c r="L49" s="1894"/>
      <c r="O49" s="1895" t="s">
        <v>1039</v>
      </c>
      <c r="P49" s="1886" t="s">
        <v>1532</v>
      </c>
      <c r="Q49" s="1887">
        <f ca="1">C29</f>
        <v>0</v>
      </c>
      <c r="R49" s="1887" t="s">
        <v>1525</v>
      </c>
    </row>
    <row r="50" spans="1:18" s="1843" customFormat="1" ht="13.8" thickBot="1">
      <c r="A50" s="1198"/>
      <c r="B50" s="1201"/>
      <c r="C50" s="1202"/>
      <c r="D50" s="1175"/>
      <c r="E50" s="1280" t="s">
        <v>1402</v>
      </c>
      <c r="F50" s="1281">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9"/>
      <c r="B51" s="1201"/>
      <c r="C51" s="1202"/>
      <c r="D51" s="1175"/>
      <c r="E51" s="1203"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9"/>
      <c r="B52" s="1201"/>
      <c r="C52" s="1202"/>
      <c r="D52" s="1175"/>
      <c r="E52" s="1203" t="s">
        <v>1404</v>
      </c>
      <c r="F52" s="1278"/>
      <c r="I52" s="1904" t="s">
        <v>1539</v>
      </c>
      <c r="J52" s="1905"/>
      <c r="K52" s="1904" t="s">
        <v>1540</v>
      </c>
      <c r="L52" s="1905"/>
      <c r="O52" s="1895" t="s">
        <v>1042</v>
      </c>
      <c r="P52" s="1886" t="s">
        <v>1541</v>
      </c>
      <c r="Q52" s="1887" t="b">
        <f>J53</f>
        <v>0</v>
      </c>
      <c r="R52" s="1887" t="s">
        <v>1542</v>
      </c>
    </row>
    <row r="53" spans="1:18" s="1843" customFormat="1" ht="30.75" customHeight="1" thickBot="1">
      <c r="A53" s="1364" t="s">
        <v>1134</v>
      </c>
      <c r="B53" s="369" t="s">
        <v>1405</v>
      </c>
      <c r="C53" s="361">
        <f ca="1">ROUND(IF(F53="押一",C49/12*F11,IF(F53="押二",C49/12*2*F11,IF(F53="押三",C49/12*3*F11,C54*F11))),0)</f>
        <v>0</v>
      </c>
      <c r="D53" s="1825" t="s">
        <v>3044</v>
      </c>
      <c r="E53" s="358" t="s">
        <v>1406</v>
      </c>
      <c r="F53" s="1369"/>
      <c r="I53" s="1906" t="s">
        <v>1543</v>
      </c>
      <c r="J53" s="1907" t="b">
        <f>IF(M47="住宅",IF(D1="——",MAX(J51,L48),IF(D1="在建（套用方法）",MAX(J51,L48-'数据-取费表'!B24),MAX(J51,L48-'数据-取费表'!B20))),IF(D1="——",MIN(J51,L48),IF(D1="在建（套用方法）",MIN(J51,L48-'数据-取费表'!B24),IF(D1="土地（套用方法）",MIN(J51,L48-'数据-取费表'!B20)))))</f>
        <v>0</v>
      </c>
      <c r="K53" s="3159" t="s">
        <v>1544</v>
      </c>
      <c r="L53" s="3160"/>
      <c r="O53" s="1885" t="s">
        <v>1043</v>
      </c>
      <c r="P53" s="1886" t="s">
        <v>1545</v>
      </c>
      <c r="Q53" s="1887" t="e">
        <f ca="1">Q47+Q48</f>
        <v>#DIV/0!</v>
      </c>
      <c r="R53" s="1887" t="s">
        <v>1044</v>
      </c>
    </row>
    <row r="54" spans="1:18" s="1843" customFormat="1" ht="13.8" thickBot="1">
      <c r="A54" s="1197"/>
      <c r="B54" s="1942" t="s">
        <v>1599</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9">
        <v>2</v>
      </c>
      <c r="B56" s="1180"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6" thickBot="1">
      <c r="A57" s="1919"/>
      <c r="B57" s="1172"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6" thickBot="1">
      <c r="A58" s="360" t="s">
        <v>1027</v>
      </c>
      <c r="B58" s="1180" t="s">
        <v>1420</v>
      </c>
      <c r="C58" s="361">
        <f ca="1">ROUND(C59+C64+C65+C66,0)</f>
        <v>0</v>
      </c>
      <c r="D58" s="1182" t="s">
        <v>1421</v>
      </c>
      <c r="E58" s="1183"/>
      <c r="F58" s="1184"/>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IF(项目基本情况!B11="自然人","——",IF(D61="按租金收入计税",ROUND(C48*F61,0),IF(D61="按房产原值计税",ROUND(C57*F61*0.7,0),INDIRECT("'数据-取费表'!Aj"&amp;$G$1))))</f>
        <v>0</v>
      </c>
      <c r="D61" s="1829" t="s">
        <v>1434</v>
      </c>
      <c r="E61" s="1172"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4" t="s">
        <v>1491</v>
      </c>
      <c r="B62" s="1171" t="s">
        <v>1492</v>
      </c>
      <c r="C62" s="25">
        <f ca="1">IF(项目基本情况!B11="自然人","——",ROUND(F62*F63,0))</f>
        <v>0</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8" thickBot="1">
      <c r="A63" s="372"/>
      <c r="B63" s="1178"/>
      <c r="C63" s="29"/>
      <c r="D63" s="1188"/>
      <c r="E63" s="1172" t="s">
        <v>1495</v>
      </c>
      <c r="F63" s="348">
        <f t="shared" ca="1" si="0"/>
        <v>0</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ROUND(C57*F64,0)</f>
        <v>0</v>
      </c>
      <c r="D64" s="1186" t="s">
        <v>1498</v>
      </c>
      <c r="E64" s="1172"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ROUND(C56*F65,0)</f>
        <v>0</v>
      </c>
      <c r="D65" s="1186" t="s">
        <v>1450</v>
      </c>
      <c r="E65" s="1172"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2" thickBot="1">
      <c r="A66" s="1204" t="s">
        <v>1500</v>
      </c>
      <c r="B66" s="1172" t="s">
        <v>1435</v>
      </c>
      <c r="C66" s="24">
        <f ca="1">ROUND(C48*F66,0)</f>
        <v>0</v>
      </c>
      <c r="D66" s="1186" t="s">
        <v>1501</v>
      </c>
      <c r="E66" s="1172" t="s">
        <v>1418</v>
      </c>
      <c r="F66" s="357">
        <f t="shared" ca="1" si="0"/>
        <v>0</v>
      </c>
      <c r="O66" s="1885" t="s">
        <v>1038</v>
      </c>
      <c r="P66" s="1886" t="s">
        <v>1554</v>
      </c>
      <c r="Q66" s="1887" t="e">
        <f ca="1">L60</f>
        <v>#DIV/0!</v>
      </c>
      <c r="R66" s="1887" t="s">
        <v>1577</v>
      </c>
    </row>
    <row r="67" spans="1:18" s="1843" customFormat="1" ht="24.6" thickBot="1">
      <c r="A67" s="1179" t="s">
        <v>1028</v>
      </c>
      <c r="B67" s="1189" t="s">
        <v>1459</v>
      </c>
      <c r="C67" s="361">
        <f ca="1">C48-C58</f>
        <v>0</v>
      </c>
      <c r="D67" s="1185" t="s">
        <v>1460</v>
      </c>
      <c r="E67" s="1190"/>
      <c r="F67" s="1191"/>
      <c r="O67" s="1895" t="s">
        <v>1039</v>
      </c>
      <c r="P67" s="1886" t="s">
        <v>1558</v>
      </c>
      <c r="Q67" s="1934">
        <f ca="1">L51</f>
        <v>0</v>
      </c>
      <c r="R67" s="1887" t="s">
        <v>1578</v>
      </c>
    </row>
    <row r="68" spans="1:18" s="1843" customFormat="1" ht="16.2" thickBot="1">
      <c r="A68" s="1169" t="s">
        <v>1029</v>
      </c>
      <c r="B68" s="1170" t="s">
        <v>1481</v>
      </c>
      <c r="C68" s="346" t="e">
        <f ca="1">ROUND(C67*(1-((1+F70)/(1+F68))^F69)/(F68-F70),0)</f>
        <v>#DIV/0!</v>
      </c>
      <c r="D68" s="1187" t="s">
        <v>1465</v>
      </c>
      <c r="E68" s="1172" t="s">
        <v>1466</v>
      </c>
      <c r="F68" s="357">
        <f ca="1">F40</f>
        <v>0</v>
      </c>
      <c r="O68" s="1895" t="s">
        <v>1040</v>
      </c>
      <c r="P68" s="1935" t="s">
        <v>1579</v>
      </c>
      <c r="Q68" s="1887">
        <f ca="1">ROUND(Q69-Q70*Q71,0)</f>
        <v>0</v>
      </c>
      <c r="R68" s="1887" t="s">
        <v>1048</v>
      </c>
    </row>
    <row r="69" spans="1:18" s="1843" customFormat="1" ht="13.8" thickBot="1">
      <c r="A69" s="1173"/>
      <c r="B69" s="1174"/>
      <c r="C69" s="351"/>
      <c r="D69" s="1192" t="s">
        <v>1469</v>
      </c>
      <c r="E69" s="1172" t="s">
        <v>1470</v>
      </c>
      <c r="F69" s="379">
        <f ca="1">F41</f>
        <v>0</v>
      </c>
      <c r="O69" s="1895" t="s">
        <v>1045</v>
      </c>
      <c r="P69" s="1935" t="s">
        <v>1580</v>
      </c>
      <c r="Q69" s="1887">
        <f ca="1">C39</f>
        <v>0</v>
      </c>
      <c r="R69" s="1887" t="s">
        <v>1525</v>
      </c>
    </row>
    <row r="70" spans="1:18" s="1843" customFormat="1" ht="13.8" thickBot="1">
      <c r="A70" s="1176"/>
      <c r="B70" s="1177"/>
      <c r="C70" s="355"/>
      <c r="D70" s="1188"/>
      <c r="E70" s="1172" t="s">
        <v>1473</v>
      </c>
      <c r="F70" s="1278">
        <f ca="1">F42</f>
        <v>0</v>
      </c>
      <c r="O70" s="1895" t="s">
        <v>1046</v>
      </c>
      <c r="P70" s="1935" t="s">
        <v>1581</v>
      </c>
      <c r="Q70" s="1887">
        <f ca="1">C13</f>
        <v>0</v>
      </c>
      <c r="R70" s="1887" t="s">
        <v>1525</v>
      </c>
    </row>
    <row r="71" spans="1:18" s="1843" customFormat="1" ht="13.8" thickBot="1">
      <c r="A71" s="1193" t="s">
        <v>1030</v>
      </c>
      <c r="B71" s="1194" t="s">
        <v>1483</v>
      </c>
      <c r="C71" s="382" t="e">
        <f ca="1">ROUND(C68/F71,0)</f>
        <v>#DIV/0!</v>
      </c>
      <c r="D71" s="1195" t="s">
        <v>1484</v>
      </c>
      <c r="E71" s="1196" t="s">
        <v>1485</v>
      </c>
      <c r="F71" s="385">
        <f ca="1">F43</f>
        <v>0</v>
      </c>
      <c r="O71" s="1895" t="s">
        <v>1047</v>
      </c>
      <c r="P71" s="1935" t="s">
        <v>1582</v>
      </c>
      <c r="Q71" s="1898">
        <f ca="1">C76</f>
        <v>0</v>
      </c>
      <c r="R71" s="1887"/>
    </row>
    <row r="72" spans="1:18" s="1843" customFormat="1" ht="13.8" thickBot="1">
      <c r="B72" s="796"/>
      <c r="C72" s="796"/>
      <c r="O72" s="1895" t="s">
        <v>1041</v>
      </c>
      <c r="P72" s="1886" t="s">
        <v>1560</v>
      </c>
      <c r="Q72" s="1898">
        <f>L52</f>
        <v>0</v>
      </c>
      <c r="R72" s="1887"/>
    </row>
    <row r="73" spans="1:18" ht="16.2" thickBot="1">
      <c r="A73" s="1843"/>
      <c r="B73" s="796"/>
      <c r="C73" s="796"/>
      <c r="D73" s="1843"/>
      <c r="E73" s="1843"/>
      <c r="F73" s="1843"/>
      <c r="O73" s="1895" t="s">
        <v>1042</v>
      </c>
      <c r="P73" s="1886" t="s">
        <v>1563</v>
      </c>
      <c r="Q73" s="1887" t="e">
        <f ca="1">L58</f>
        <v>#DIV/0!</v>
      </c>
      <c r="R73" s="1887" t="s">
        <v>1564</v>
      </c>
    </row>
    <row r="74" spans="1:18" ht="13.8"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9" sqref="J19"/>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6" t="s">
        <v>2526</v>
      </c>
      <c r="B1" s="2567"/>
      <c r="C1" s="2567"/>
      <c r="D1" s="2567"/>
      <c r="E1" s="2568"/>
    </row>
    <row r="2" spans="1:6" ht="15.6">
      <c r="A2" s="2569" t="s">
        <v>2327</v>
      </c>
      <c r="B2" s="2570">
        <f ca="1">SUMIF(B6:B13,"&lt;&gt;#ref!",B6:B13)</f>
        <v>166637</v>
      </c>
      <c r="C2" s="2571" t="s">
        <v>2519</v>
      </c>
      <c r="D2" s="2572" t="s">
        <v>2520</v>
      </c>
      <c r="E2" s="2573">
        <f>SUM(E6:E13)</f>
        <v>138723.22</v>
      </c>
    </row>
    <row r="3" spans="1:6" ht="15.6">
      <c r="A3" s="2569" t="s">
        <v>1391</v>
      </c>
      <c r="B3" s="2570">
        <f ca="1">ROUND(B2*10000/E2,0)</f>
        <v>12012</v>
      </c>
      <c r="C3" s="2571" t="s">
        <v>2527</v>
      </c>
      <c r="D3" s="2574"/>
      <c r="E3" s="2575"/>
    </row>
    <row r="4" spans="1:6" ht="15.6">
      <c r="A4" s="2576"/>
      <c r="B4" s="2574"/>
      <c r="C4" s="2574"/>
      <c r="D4" s="2574"/>
      <c r="E4" s="2575"/>
    </row>
    <row r="5" spans="1:6" ht="14.4">
      <c r="A5" s="2577" t="s">
        <v>2521</v>
      </c>
      <c r="B5" s="3161" t="s">
        <v>2522</v>
      </c>
      <c r="C5" s="3161"/>
      <c r="D5" s="2578"/>
      <c r="E5" s="2579" t="s">
        <v>2523</v>
      </c>
      <c r="F5" s="2580" t="s">
        <v>2524</v>
      </c>
    </row>
    <row r="6" spans="1:6" ht="14.4">
      <c r="A6" s="2581" t="str">
        <f>'数据-取费表'!AN6</f>
        <v>收益法-酒店</v>
      </c>
      <c r="B6" s="2580">
        <f ca="1">IF(F6="是",'数据-取费表'!AO6,0)</f>
        <v>88538</v>
      </c>
      <c r="C6" s="2571" t="s">
        <v>2519</v>
      </c>
      <c r="D6" s="2574"/>
      <c r="E6" s="2582">
        <f>IF(OR(A6=0,F6="否"),0,'数据-取费表'!K6+'数据-取费表'!S6)</f>
        <v>96920.28</v>
      </c>
      <c r="F6" s="2583" t="s">
        <v>2525</v>
      </c>
    </row>
    <row r="7" spans="1:6" ht="14.4">
      <c r="A7" s="2581" t="str">
        <f>'数据-取费表'!AN7</f>
        <v>收益法-办公</v>
      </c>
      <c r="B7" s="2580">
        <f ca="1">IF(F7="是",'数据-取费表'!AO7,0)</f>
        <v>78099</v>
      </c>
      <c r="C7" s="2571" t="s">
        <v>2519</v>
      </c>
      <c r="D7" s="2574"/>
      <c r="E7" s="2582">
        <f>IF(OR(A7=0,F7="否"),0,'数据-取费表'!K7+'数据-取费表'!S7)</f>
        <v>41802.94</v>
      </c>
      <c r="F7" s="2583" t="s">
        <v>2525</v>
      </c>
    </row>
    <row r="8" spans="1:6" ht="14.4">
      <c r="A8" s="2581">
        <f>'数据-取费表'!AN8</f>
        <v>0</v>
      </c>
      <c r="B8" s="2580" t="e">
        <f ca="1">IF(F8="是",'数据-取费表'!AO8,0)</f>
        <v>#REF!</v>
      </c>
      <c r="C8" s="2571" t="s">
        <v>2519</v>
      </c>
      <c r="D8" s="2574"/>
      <c r="E8" s="2582">
        <f>IF(OR(A8=0,F8="否"),0,'数据-取费表'!K8+'数据-取费表'!S8)</f>
        <v>0</v>
      </c>
      <c r="F8" s="2583" t="s">
        <v>2525</v>
      </c>
    </row>
    <row r="9" spans="1:6" ht="14.4">
      <c r="A9" s="2581">
        <f>'数据-取费表'!AN9</f>
        <v>0</v>
      </c>
      <c r="B9" s="2580" t="e">
        <f ca="1">IF(F9="是",'数据-取费表'!AO9,0)</f>
        <v>#REF!</v>
      </c>
      <c r="C9" s="2571" t="s">
        <v>2519</v>
      </c>
      <c r="D9" s="2574"/>
      <c r="E9" s="2582">
        <f>IF(OR(A9=0,F9="否"),0,'数据-取费表'!K9+'数据-取费表'!S9)</f>
        <v>0</v>
      </c>
      <c r="F9" s="2583" t="s">
        <v>2525</v>
      </c>
    </row>
    <row r="10" spans="1:6" ht="14.4">
      <c r="A10" s="2581">
        <f>'数据-取费表'!AN10</f>
        <v>0</v>
      </c>
      <c r="B10" s="2580" t="e">
        <f ca="1">IF(F10="是",'数据-取费表'!AO10,0)</f>
        <v>#REF!</v>
      </c>
      <c r="C10" s="2571" t="s">
        <v>2519</v>
      </c>
      <c r="D10" s="2574"/>
      <c r="E10" s="2582">
        <f>IF(OR(A10=0,F10="否"),0,'数据-取费表'!K10+'数据-取费表'!S10)</f>
        <v>0</v>
      </c>
      <c r="F10" s="2583" t="s">
        <v>2525</v>
      </c>
    </row>
    <row r="11" spans="1:6" ht="14.4">
      <c r="A11" s="2581">
        <f>'数据-取费表'!AN11</f>
        <v>0</v>
      </c>
      <c r="B11" s="2580" t="e">
        <f ca="1">IF(F11="是",'数据-取费表'!AO11,0)</f>
        <v>#REF!</v>
      </c>
      <c r="C11" s="2571" t="s">
        <v>2519</v>
      </c>
      <c r="D11" s="2574"/>
      <c r="E11" s="2582">
        <f>IF(OR(A11=0,F11="否"),0,'数据-取费表'!K11+'数据-取费表'!S11)</f>
        <v>0</v>
      </c>
      <c r="F11" s="2583" t="s">
        <v>2525</v>
      </c>
    </row>
    <row r="12" spans="1:6" ht="14.4">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25" sqref="N25"/>
    </sheetView>
  </sheetViews>
  <sheetFormatPr defaultRowHeight="14.4"/>
  <cols>
    <col min="1" max="1" width="10.44140625" customWidth="1"/>
    <col min="2" max="2" width="12.88671875" customWidth="1"/>
    <col min="3" max="3" width="8.77734375" customWidth="1"/>
  </cols>
  <sheetData>
    <row r="1" spans="1:9" ht="15.6">
      <c r="A1" s="3162" t="s">
        <v>1073</v>
      </c>
      <c r="B1" s="3163"/>
      <c r="C1" s="3164"/>
      <c r="D1" s="3165">
        <f>SUM(I10,I15,I20,I21,I23)</f>
        <v>11506</v>
      </c>
      <c r="E1" s="3165"/>
      <c r="F1" s="3165"/>
      <c r="G1" s="3165"/>
      <c r="H1" s="3165"/>
      <c r="I1" s="3166"/>
    </row>
    <row r="2" spans="1:9">
      <c r="A2" s="3167" t="s">
        <v>1074</v>
      </c>
      <c r="B2" s="3168" t="s">
        <v>1075</v>
      </c>
      <c r="C2" s="3168"/>
      <c r="D2" s="1304" t="s">
        <v>1076</v>
      </c>
      <c r="E2" s="1304" t="s">
        <v>1077</v>
      </c>
      <c r="F2" s="1304" t="s">
        <v>1078</v>
      </c>
      <c r="G2" s="1304" t="s">
        <v>1079</v>
      </c>
      <c r="H2" s="1304" t="s">
        <v>1080</v>
      </c>
      <c r="I2" s="1305" t="s">
        <v>1081</v>
      </c>
    </row>
    <row r="3" spans="1:9">
      <c r="A3" s="3167"/>
      <c r="B3" s="3168" t="s">
        <v>1082</v>
      </c>
      <c r="C3" s="3168"/>
      <c r="D3" s="1306"/>
      <c r="E3" s="1304"/>
      <c r="F3" s="1307"/>
      <c r="G3" s="1307"/>
      <c r="H3" s="1308"/>
      <c r="I3" s="1309">
        <f>ROUND(D3*E3*F3*G3*H3/10000,0)</f>
        <v>0</v>
      </c>
    </row>
    <row r="4" spans="1:9">
      <c r="A4" s="3167"/>
      <c r="B4" s="3168" t="s">
        <v>1083</v>
      </c>
      <c r="C4" s="3168"/>
      <c r="D4" s="1306"/>
      <c r="E4" s="1304"/>
      <c r="F4" s="1307"/>
      <c r="G4" s="1307"/>
      <c r="H4" s="1308"/>
      <c r="I4" s="1309">
        <f t="shared" ref="I4:I9" si="0">ROUND(D4*E4*F4*G4*H4/10000,0)</f>
        <v>0</v>
      </c>
    </row>
    <row r="5" spans="1:9">
      <c r="A5" s="3167"/>
      <c r="B5" s="3168" t="s">
        <v>1084</v>
      </c>
      <c r="C5" s="3168"/>
      <c r="D5" s="1306"/>
      <c r="E5" s="1304"/>
      <c r="F5" s="1307"/>
      <c r="G5" s="1307"/>
      <c r="H5" s="1308"/>
      <c r="I5" s="1309">
        <f t="shared" si="0"/>
        <v>0</v>
      </c>
    </row>
    <row r="6" spans="1:9">
      <c r="A6" s="3167"/>
      <c r="B6" s="3168" t="s">
        <v>1085</v>
      </c>
      <c r="C6" s="3168"/>
      <c r="D6" s="1306">
        <v>450</v>
      </c>
      <c r="E6" s="1304">
        <v>700</v>
      </c>
      <c r="F6" s="1307">
        <v>0.95</v>
      </c>
      <c r="G6" s="1307">
        <v>0.65</v>
      </c>
      <c r="H6" s="1308">
        <v>365</v>
      </c>
      <c r="I6" s="1309">
        <f t="shared" si="0"/>
        <v>7100</v>
      </c>
    </row>
    <row r="7" spans="1:9">
      <c r="A7" s="3167"/>
      <c r="B7" s="3168" t="s">
        <v>1086</v>
      </c>
      <c r="C7" s="3168"/>
      <c r="D7" s="1306"/>
      <c r="E7" s="1304"/>
      <c r="F7" s="1307"/>
      <c r="G7" s="1307"/>
      <c r="H7" s="1308"/>
      <c r="I7" s="1309">
        <f t="shared" si="0"/>
        <v>0</v>
      </c>
    </row>
    <row r="8" spans="1:9">
      <c r="A8" s="3167"/>
      <c r="B8" s="3168" t="s">
        <v>1087</v>
      </c>
      <c r="C8" s="3168"/>
      <c r="D8" s="1306"/>
      <c r="E8" s="1304"/>
      <c r="F8" s="1307"/>
      <c r="G8" s="1307"/>
      <c r="H8" s="1308"/>
      <c r="I8" s="1309">
        <f t="shared" si="0"/>
        <v>0</v>
      </c>
    </row>
    <row r="9" spans="1:9">
      <c r="A9" s="3167"/>
      <c r="B9" s="3168" t="s">
        <v>1088</v>
      </c>
      <c r="C9" s="3168"/>
      <c r="D9" s="1306"/>
      <c r="E9" s="1304"/>
      <c r="F9" s="1307"/>
      <c r="G9" s="1307"/>
      <c r="H9" s="1308"/>
      <c r="I9" s="1309">
        <f t="shared" si="0"/>
        <v>0</v>
      </c>
    </row>
    <row r="10" spans="1:9">
      <c r="A10" s="3167"/>
      <c r="B10" s="3169" t="s">
        <v>1089</v>
      </c>
      <c r="C10" s="3169"/>
      <c r="D10" s="1310"/>
      <c r="E10" s="1310"/>
      <c r="F10" s="1311"/>
      <c r="G10" s="1311"/>
      <c r="H10" s="1312"/>
      <c r="I10" s="1313">
        <f>SUM(I3:I9)</f>
        <v>7100</v>
      </c>
    </row>
    <row r="11" spans="1:9" ht="15.6">
      <c r="A11" s="3167" t="s">
        <v>1090</v>
      </c>
      <c r="B11" s="3168" t="s">
        <v>1091</v>
      </c>
      <c r="C11" s="3168"/>
      <c r="D11" s="1306" t="s">
        <v>1092</v>
      </c>
      <c r="E11" s="1306" t="s">
        <v>1093</v>
      </c>
      <c r="F11" s="1307" t="s">
        <v>1094</v>
      </c>
      <c r="G11" s="1307" t="s">
        <v>1080</v>
      </c>
      <c r="H11" s="1314" t="s">
        <v>1095</v>
      </c>
      <c r="I11" s="1305" t="s">
        <v>1081</v>
      </c>
    </row>
    <row r="12" spans="1:9">
      <c r="A12" s="3167"/>
      <c r="B12" s="3168" t="s">
        <v>1096</v>
      </c>
      <c r="C12" s="3168"/>
      <c r="D12" s="1306"/>
      <c r="E12" s="1306"/>
      <c r="F12" s="1307"/>
      <c r="G12" s="1308"/>
      <c r="H12" s="1315"/>
      <c r="I12" s="1305"/>
    </row>
    <row r="13" spans="1:9">
      <c r="A13" s="3167"/>
      <c r="B13" s="3168" t="s">
        <v>1097</v>
      </c>
      <c r="C13" s="3168"/>
      <c r="D13" s="1306"/>
      <c r="E13" s="1306"/>
      <c r="F13" s="1307"/>
      <c r="G13" s="1308"/>
      <c r="H13" s="1315"/>
      <c r="I13" s="1305"/>
    </row>
    <row r="14" spans="1:9">
      <c r="A14" s="3167"/>
      <c r="B14" s="3168" t="s">
        <v>1098</v>
      </c>
      <c r="C14" s="3168"/>
      <c r="D14" s="1306"/>
      <c r="E14" s="1306"/>
      <c r="F14" s="1307"/>
      <c r="G14" s="1308"/>
      <c r="H14" s="1315"/>
      <c r="I14" s="1305"/>
    </row>
    <row r="15" spans="1:9">
      <c r="A15" s="3167"/>
      <c r="B15" s="3169" t="s">
        <v>1089</v>
      </c>
      <c r="C15" s="3169"/>
      <c r="D15" s="1310"/>
      <c r="E15" s="1310">
        <f>SUM(E12:E14)</f>
        <v>0</v>
      </c>
      <c r="F15" s="1311"/>
      <c r="G15" s="1308"/>
      <c r="H15" s="1307">
        <v>0.5</v>
      </c>
      <c r="I15" s="1316">
        <f>I10*H15</f>
        <v>3550</v>
      </c>
    </row>
    <row r="16" spans="1:9" ht="24">
      <c r="A16" s="3167" t="s">
        <v>1099</v>
      </c>
      <c r="B16" s="3168" t="s">
        <v>1100</v>
      </c>
      <c r="C16" s="3168"/>
      <c r="D16" s="1306" t="s">
        <v>1076</v>
      </c>
      <c r="E16" s="1317" t="s">
        <v>1101</v>
      </c>
      <c r="F16" s="1307" t="s">
        <v>1102</v>
      </c>
      <c r="G16" s="1308" t="s">
        <v>1080</v>
      </c>
      <c r="H16" s="1314" t="s">
        <v>1095</v>
      </c>
      <c r="I16" s="1305" t="s">
        <v>1081</v>
      </c>
    </row>
    <row r="17" spans="1:9" ht="15.6">
      <c r="A17" s="3167"/>
      <c r="B17" s="3168" t="s">
        <v>1103</v>
      </c>
      <c r="C17" s="3168"/>
      <c r="D17" s="1306">
        <v>1</v>
      </c>
      <c r="E17" s="1306">
        <v>10000</v>
      </c>
      <c r="F17" s="1307">
        <v>0.4</v>
      </c>
      <c r="G17" s="1308">
        <v>365</v>
      </c>
      <c r="H17" s="1318"/>
      <c r="I17" s="1319">
        <f>ROUND(D17*E17*F17*G17/10000,0)</f>
        <v>146</v>
      </c>
    </row>
    <row r="18" spans="1:9" ht="15.6">
      <c r="A18" s="3167"/>
      <c r="B18" s="3168" t="s">
        <v>1104</v>
      </c>
      <c r="C18" s="3168"/>
      <c r="D18" s="1306"/>
      <c r="E18" s="1306"/>
      <c r="F18" s="1307"/>
      <c r="G18" s="1308"/>
      <c r="H18" s="1318"/>
      <c r="I18" s="1319">
        <f>ROUND(D18*E18*F18*G18/10000,0)</f>
        <v>0</v>
      </c>
    </row>
    <row r="19" spans="1:9" ht="15.6">
      <c r="A19" s="3167"/>
      <c r="B19" s="3168" t="s">
        <v>1105</v>
      </c>
      <c r="C19" s="3168"/>
      <c r="D19" s="1306"/>
      <c r="E19" s="1306"/>
      <c r="F19" s="1307"/>
      <c r="G19" s="1308"/>
      <c r="H19" s="1318"/>
      <c r="I19" s="1319">
        <f>ROUND(D19*E19*F19*G19/10000,0)</f>
        <v>0</v>
      </c>
    </row>
    <row r="20" spans="1:9">
      <c r="A20" s="3167"/>
      <c r="B20" s="3169" t="s">
        <v>1089</v>
      </c>
      <c r="C20" s="3169"/>
      <c r="D20" s="1310">
        <f>SUM(D17:D19)</f>
        <v>1</v>
      </c>
      <c r="E20" s="1310"/>
      <c r="F20" s="1311"/>
      <c r="G20" s="1308"/>
      <c r="H20" s="1315"/>
      <c r="I20" s="1316">
        <f>SUM(I17:I19)</f>
        <v>146</v>
      </c>
    </row>
    <row r="21" spans="1:9">
      <c r="A21" s="3167" t="s">
        <v>1106</v>
      </c>
      <c r="B21" s="3171"/>
      <c r="C21" s="3171"/>
      <c r="D21" s="3171"/>
      <c r="E21" s="3171"/>
      <c r="F21" s="3171"/>
      <c r="G21" s="3171"/>
      <c r="H21" s="1766">
        <v>0.1</v>
      </c>
      <c r="I21" s="1313">
        <f>ROUND(I10*H21,0)</f>
        <v>710</v>
      </c>
    </row>
    <row r="22" spans="1:9" ht="15.6">
      <c r="A22" s="3172" t="s">
        <v>1107</v>
      </c>
      <c r="B22" s="3173"/>
      <c r="C22" s="3174"/>
      <c r="D22" s="1320" t="s">
        <v>1108</v>
      </c>
      <c r="E22" s="1320" t="s">
        <v>1109</v>
      </c>
      <c r="F22" s="1321" t="s">
        <v>1110</v>
      </c>
      <c r="G22" s="1321" t="s">
        <v>1111</v>
      </c>
      <c r="H22" s="1314" t="s">
        <v>1112</v>
      </c>
      <c r="I22" s="1305" t="s">
        <v>1113</v>
      </c>
    </row>
    <row r="23" spans="1:9" ht="15" thickBot="1">
      <c r="A23" s="3175"/>
      <c r="B23" s="3176"/>
      <c r="C23" s="3177"/>
      <c r="D23" s="1322"/>
      <c r="E23" s="1322"/>
      <c r="F23" s="1322"/>
      <c r="G23" s="1323"/>
      <c r="H23" s="1324"/>
      <c r="I23" s="1325">
        <f>ROUND(E23*D23*F23*(1-G23)/10000,0)</f>
        <v>0</v>
      </c>
    </row>
    <row r="26" spans="1:9">
      <c r="A26" s="1326" t="s">
        <v>1114</v>
      </c>
      <c r="B26" s="1326"/>
      <c r="C26" s="1326"/>
      <c r="D26" s="1326"/>
      <c r="E26" s="3178">
        <f>C27-C30-C31-C32</f>
        <v>6328.2999999999993</v>
      </c>
      <c r="F26" s="3178"/>
      <c r="G26" s="3178"/>
      <c r="H26" s="1738" t="s">
        <v>1336</v>
      </c>
    </row>
    <row r="27" spans="1:9">
      <c r="A27" s="1327">
        <v>1</v>
      </c>
      <c r="B27" s="1328" t="s">
        <v>1115</v>
      </c>
      <c r="C27" s="1328">
        <f>C28+C29</f>
        <v>11506</v>
      </c>
      <c r="D27" s="1328"/>
      <c r="E27" s="3179"/>
      <c r="F27" s="3179"/>
      <c r="G27" s="3179"/>
    </row>
    <row r="28" spans="1:9">
      <c r="A28" s="1329" t="s">
        <v>1116</v>
      </c>
      <c r="B28" s="1328" t="s">
        <v>1117</v>
      </c>
      <c r="C28" s="1328">
        <f>I10</f>
        <v>7100</v>
      </c>
      <c r="D28" s="1328"/>
      <c r="E28" s="3179"/>
      <c r="F28" s="3179"/>
      <c r="G28" s="3179"/>
    </row>
    <row r="29" spans="1:9">
      <c r="A29" s="1329" t="s">
        <v>1118</v>
      </c>
      <c r="B29" s="1328" t="s">
        <v>1119</v>
      </c>
      <c r="C29" s="1328">
        <f>I21+I15+I20</f>
        <v>4406</v>
      </c>
      <c r="D29" s="1328"/>
      <c r="E29" s="1328" t="s">
        <v>1120</v>
      </c>
      <c r="F29" s="1328"/>
      <c r="G29" s="1328"/>
    </row>
    <row r="30" spans="1:9">
      <c r="A30" s="1327">
        <v>2</v>
      </c>
      <c r="B30" s="1328" t="s">
        <v>1121</v>
      </c>
      <c r="C30" s="1328">
        <f>C27*D30</f>
        <v>2301.2000000000003</v>
      </c>
      <c r="D30" s="1330">
        <v>0.2</v>
      </c>
      <c r="E30" s="1328" t="s">
        <v>1122</v>
      </c>
      <c r="F30" s="1328"/>
      <c r="G30" s="1328"/>
    </row>
    <row r="31" spans="1:9">
      <c r="A31" s="1327">
        <v>3</v>
      </c>
      <c r="B31" s="1328" t="s">
        <v>1123</v>
      </c>
      <c r="C31" s="1328">
        <f>C27*D31</f>
        <v>1725.8999999999999</v>
      </c>
      <c r="D31" s="1330">
        <v>0.15</v>
      </c>
      <c r="E31" s="1328" t="s">
        <v>1124</v>
      </c>
      <c r="F31" s="1328"/>
      <c r="G31" s="1328"/>
    </row>
    <row r="32" spans="1:9">
      <c r="A32" s="1327">
        <v>4</v>
      </c>
      <c r="B32" s="1328" t="s">
        <v>1125</v>
      </c>
      <c r="C32" s="1328">
        <f>C27*D32</f>
        <v>1150.6000000000001</v>
      </c>
      <c r="D32" s="1330">
        <v>0.1</v>
      </c>
      <c r="E32" s="3170"/>
      <c r="F32" s="3170"/>
      <c r="G32" s="3170"/>
    </row>
    <row r="33" spans="1:7" hidden="1">
      <c r="A33" s="3180" t="s">
        <v>1126</v>
      </c>
      <c r="B33" s="3181"/>
      <c r="C33" s="3181"/>
      <c r="D33" s="3182"/>
      <c r="E33" s="3178"/>
      <c r="F33" s="3178"/>
      <c r="G33" s="3178"/>
    </row>
    <row r="34" spans="1:7" hidden="1">
      <c r="A34" s="1331">
        <v>1</v>
      </c>
      <c r="B34" s="1328" t="s">
        <v>1127</v>
      </c>
      <c r="C34" s="1328"/>
      <c r="D34" s="1328"/>
      <c r="E34" s="3179"/>
      <c r="F34" s="3179"/>
      <c r="G34" s="3179"/>
    </row>
    <row r="35" spans="1:7" hidden="1">
      <c r="A35" s="1331">
        <v>2</v>
      </c>
      <c r="B35" s="1328" t="s">
        <v>1128</v>
      </c>
      <c r="C35" s="1328"/>
      <c r="D35" s="1328"/>
      <c r="E35" s="3179"/>
      <c r="F35" s="3179"/>
      <c r="G35" s="3179"/>
    </row>
    <row r="36" spans="1:7" hidden="1">
      <c r="A36" s="1331">
        <v>3</v>
      </c>
      <c r="B36" s="1328" t="s">
        <v>1129</v>
      </c>
      <c r="C36" s="1328"/>
      <c r="D36" s="1328"/>
      <c r="E36" s="3179"/>
      <c r="F36" s="3179"/>
      <c r="G36" s="3179"/>
    </row>
    <row r="37" spans="1:7" hidden="1">
      <c r="A37" s="1331">
        <v>4</v>
      </c>
      <c r="B37" s="1328" t="s">
        <v>1130</v>
      </c>
      <c r="C37" s="1328"/>
      <c r="D37" s="1328"/>
      <c r="E37" s="3179"/>
      <c r="F37" s="3179"/>
      <c r="G37" s="3179"/>
    </row>
    <row r="38" spans="1:7" hidden="1">
      <c r="A38" s="3180" t="s">
        <v>1131</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587" t="s">
        <v>2529</v>
      </c>
      <c r="C1" s="1635" t="s">
        <v>2530</v>
      </c>
      <c r="D1" s="1622"/>
      <c r="E1" s="2588"/>
      <c r="F1" s="2589" t="s">
        <v>2531</v>
      </c>
      <c r="G1" s="1632" t="s">
        <v>2532</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1390</v>
      </c>
      <c r="B2" s="1420" t="e">
        <f ca="1">IF(C2="——",ROUND(C49*D3/10000,0),ROUND(C49*D3/10000,0)-D2)</f>
        <v>#DIV/0!</v>
      </c>
      <c r="C2" s="2591"/>
      <c r="D2" s="1368" t="e">
        <f ca="1">SUMIF(INDIRECT("'"&amp;F2&amp;"'"&amp;"!A:A"),"承租人权益价值",INDIRECT("'"&amp;F2&amp;"'"&amp;"!c:c"))</f>
        <v>#REF!</v>
      </c>
      <c r="E2" s="2592" t="s">
        <v>2533</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2534</v>
      </c>
      <c r="D3" s="399">
        <f>IF(D1="",'数据-汇总表'!E3,SUMIF('数据-汇总表'!$C19:$C33,D1,'数据-汇总表'!$E19:$E33))</f>
        <v>138723.22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2535</v>
      </c>
      <c r="B4" s="402"/>
      <c r="C4" s="3201" t="s">
        <v>2536</v>
      </c>
      <c r="D4" s="3202"/>
      <c r="E4" s="3203" t="s">
        <v>2537</v>
      </c>
      <c r="F4" s="3204"/>
      <c r="G4" s="3201" t="s">
        <v>2538</v>
      </c>
      <c r="H4" s="3202"/>
      <c r="I4" s="3201" t="s">
        <v>2539</v>
      </c>
      <c r="J4" s="3202"/>
      <c r="K4" s="2601" t="s">
        <v>2540</v>
      </c>
      <c r="L4" s="1133"/>
      <c r="M4" s="1134"/>
      <c r="N4" s="1134"/>
      <c r="O4" s="1134"/>
      <c r="P4" s="3205" t="s">
        <v>2541</v>
      </c>
      <c r="Q4" s="3206"/>
      <c r="R4" s="3188" t="s">
        <v>2537</v>
      </c>
      <c r="S4" s="3189"/>
      <c r="T4" s="3188" t="s">
        <v>2538</v>
      </c>
      <c r="U4" s="3189"/>
      <c r="V4" s="3213" t="s">
        <v>2539</v>
      </c>
      <c r="W4" s="3213"/>
      <c r="X4" s="1814"/>
      <c r="Y4" s="3188" t="s">
        <v>2541</v>
      </c>
      <c r="Z4" s="3189"/>
      <c r="AA4" s="3183" t="s">
        <v>2537</v>
      </c>
      <c r="AB4" s="3183" t="s">
        <v>2538</v>
      </c>
      <c r="AC4" s="3183" t="s">
        <v>2539</v>
      </c>
    </row>
    <row r="5" spans="1:29">
      <c r="A5" s="404"/>
      <c r="B5" s="405"/>
      <c r="C5" s="3194" t="s">
        <v>2542</v>
      </c>
      <c r="D5" s="3195"/>
      <c r="E5" s="3192" t="s">
        <v>2543</v>
      </c>
      <c r="F5" s="3193"/>
      <c r="G5" s="3194" t="s">
        <v>2544</v>
      </c>
      <c r="H5" s="3195"/>
      <c r="I5" s="3194" t="s">
        <v>2545</v>
      </c>
      <c r="J5" s="3195"/>
      <c r="K5" s="2602"/>
      <c r="L5" s="1133"/>
      <c r="M5" s="1134"/>
      <c r="N5" s="1134"/>
      <c r="O5" s="1134"/>
      <c r="P5" s="3207"/>
      <c r="Q5" s="3208"/>
      <c r="R5" s="3190"/>
      <c r="S5" s="3191"/>
      <c r="T5" s="3190"/>
      <c r="U5" s="3191"/>
      <c r="V5" s="3213"/>
      <c r="W5" s="3213"/>
      <c r="X5" s="1814"/>
      <c r="Y5" s="3190"/>
      <c r="Z5" s="3191"/>
      <c r="AA5" s="3184"/>
      <c r="AB5" s="3184"/>
      <c r="AC5" s="3184"/>
    </row>
    <row r="6" spans="1:29" ht="15" thickBot="1">
      <c r="A6" s="406"/>
      <c r="B6" s="407"/>
      <c r="C6" s="3196" t="s">
        <v>2546</v>
      </c>
      <c r="D6" s="3197"/>
      <c r="E6" s="3198" t="s">
        <v>2546</v>
      </c>
      <c r="F6" s="3199"/>
      <c r="G6" s="3196" t="s">
        <v>2546</v>
      </c>
      <c r="H6" s="3197"/>
      <c r="I6" s="3196" t="s">
        <v>2546</v>
      </c>
      <c r="J6" s="3197"/>
      <c r="K6" s="2602" t="s">
        <v>2547</v>
      </c>
      <c r="L6" s="1133"/>
      <c r="M6" s="1134"/>
      <c r="N6" s="1134"/>
      <c r="O6" s="1134"/>
      <c r="P6" s="3209"/>
      <c r="Q6" s="3210"/>
      <c r="R6" s="3190"/>
      <c r="S6" s="3191"/>
      <c r="T6" s="3211"/>
      <c r="U6" s="3212"/>
      <c r="V6" s="3213"/>
      <c r="W6" s="3213"/>
      <c r="X6" s="1814"/>
      <c r="Y6" s="3211"/>
      <c r="Z6" s="3212"/>
      <c r="AA6" s="3185"/>
      <c r="AB6" s="3185"/>
      <c r="AC6" s="3185"/>
    </row>
    <row r="7" spans="1:29" s="117" customFormat="1" ht="1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6" t="s">
        <v>2549</v>
      </c>
      <c r="Q7" s="3214"/>
      <c r="R7" s="770" t="s">
        <v>23</v>
      </c>
      <c r="S7" s="771">
        <f t="shared" ref="S7:S15" si="0">F7</f>
        <v>0</v>
      </c>
      <c r="T7" s="770" t="s">
        <v>23</v>
      </c>
      <c r="U7" s="771">
        <f t="shared" ref="U7:U15" si="1">H7</f>
        <v>0</v>
      </c>
      <c r="V7" s="770" t="s">
        <v>23</v>
      </c>
      <c r="W7" s="771">
        <f t="shared" ref="W7:W15" si="2">J7</f>
        <v>0</v>
      </c>
      <c r="X7" s="772"/>
      <c r="Y7" s="3186" t="s">
        <v>2549</v>
      </c>
      <c r="Z7" s="3187"/>
      <c r="AA7" s="773" t="e">
        <f>D7/F7</f>
        <v>#DIV/0!</v>
      </c>
      <c r="AB7" s="773" t="e">
        <f>D7/H7</f>
        <v>#DIV/0!</v>
      </c>
      <c r="AC7" s="773" t="e">
        <f>D7/J7</f>
        <v>#DIV/0!</v>
      </c>
    </row>
    <row r="8" spans="1:29" s="117" customFormat="1" ht="1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6" t="s">
        <v>2552</v>
      </c>
      <c r="Q8" s="3187"/>
      <c r="R8" s="770" t="s">
        <v>23</v>
      </c>
      <c r="S8" s="771">
        <f t="shared" si="0"/>
        <v>0</v>
      </c>
      <c r="T8" s="770" t="s">
        <v>23</v>
      </c>
      <c r="U8" s="771">
        <f t="shared" si="1"/>
        <v>0</v>
      </c>
      <c r="V8" s="770" t="s">
        <v>23</v>
      </c>
      <c r="W8" s="771">
        <f t="shared" si="2"/>
        <v>0</v>
      </c>
      <c r="X8" s="772"/>
      <c r="Y8" s="3186" t="s">
        <v>2552</v>
      </c>
      <c r="Z8" s="3187"/>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0"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6"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0"/>
      <c r="Q12" s="1796">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0"/>
      <c r="Q13" s="1796">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0"/>
      <c r="Q14" s="1796">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6.6">
      <c r="A15" s="440" t="s">
        <v>2559</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2560</v>
      </c>
      <c r="Q15" s="1811" t="str">
        <f t="shared" si="6"/>
        <v>居住社区成熟度</v>
      </c>
      <c r="R15" s="774" t="s">
        <v>21</v>
      </c>
      <c r="S15" s="775">
        <f t="shared" si="0"/>
        <v>100</v>
      </c>
      <c r="T15" s="774" t="s">
        <v>21</v>
      </c>
      <c r="U15" s="775">
        <f t="shared" si="1"/>
        <v>100</v>
      </c>
      <c r="V15" s="774" t="s">
        <v>21</v>
      </c>
      <c r="W15" s="775">
        <f t="shared" si="2"/>
        <v>100</v>
      </c>
      <c r="X15" s="1814"/>
      <c r="Y15" s="3220" t="s">
        <v>2560</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3"/>
      <c r="M16" s="1134"/>
      <c r="N16" s="1134"/>
      <c r="O16" s="1134"/>
      <c r="P16" s="3228"/>
      <c r="Q16" s="1811"/>
      <c r="R16" s="774"/>
      <c r="S16" s="775"/>
      <c r="T16" s="774"/>
      <c r="U16" s="775"/>
      <c r="V16" s="774"/>
      <c r="W16" s="775"/>
      <c r="X16" s="1814"/>
      <c r="Y16" s="3221"/>
      <c r="Z16" s="1815"/>
      <c r="AA16" s="1812">
        <v>1</v>
      </c>
      <c r="AB16" s="1812">
        <v>1</v>
      </c>
      <c r="AC16" s="1812">
        <v>1</v>
      </c>
    </row>
    <row r="17" spans="1:29" ht="82.8">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1" t="str">
        <f>B17</f>
        <v>交通便捷度</v>
      </c>
      <c r="R17" s="774" t="s">
        <v>21</v>
      </c>
      <c r="S17" s="775">
        <f>F17</f>
        <v>100</v>
      </c>
      <c r="T17" s="774" t="s">
        <v>21</v>
      </c>
      <c r="U17" s="775">
        <f>H17</f>
        <v>100</v>
      </c>
      <c r="V17" s="774" t="s">
        <v>21</v>
      </c>
      <c r="W17" s="775">
        <f>J17</f>
        <v>100</v>
      </c>
      <c r="X17" s="1814"/>
      <c r="Y17" s="3221"/>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3"/>
      <c r="M18" s="1134"/>
      <c r="N18" s="1134"/>
      <c r="O18" s="1134"/>
      <c r="P18" s="3228"/>
      <c r="Q18" s="1811"/>
      <c r="R18" s="774"/>
      <c r="S18" s="775"/>
      <c r="T18" s="774"/>
      <c r="U18" s="775"/>
      <c r="V18" s="774"/>
      <c r="W18" s="775"/>
      <c r="X18" s="1814"/>
      <c r="Y18" s="3221"/>
      <c r="Z18" s="1815"/>
      <c r="AA18" s="1812">
        <v>1</v>
      </c>
      <c r="AB18" s="1812">
        <v>1</v>
      </c>
      <c r="AC18" s="1812">
        <v>1</v>
      </c>
    </row>
    <row r="19" spans="1:29" ht="41.4">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1" t="str">
        <f>B19</f>
        <v>公共配套设施</v>
      </c>
      <c r="R19" s="774" t="s">
        <v>21</v>
      </c>
      <c r="S19" s="775">
        <f>F19</f>
        <v>100</v>
      </c>
      <c r="T19" s="774" t="s">
        <v>21</v>
      </c>
      <c r="U19" s="775">
        <f>H19</f>
        <v>100</v>
      </c>
      <c r="V19" s="774" t="s">
        <v>21</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3"/>
      <c r="M20" s="1134"/>
      <c r="N20" s="1134"/>
      <c r="O20" s="1134"/>
      <c r="P20" s="3228"/>
      <c r="Q20" s="1811"/>
      <c r="R20" s="774"/>
      <c r="S20" s="775"/>
      <c r="T20" s="774"/>
      <c r="U20" s="775"/>
      <c r="V20" s="774"/>
      <c r="W20" s="775"/>
      <c r="X20" s="1814"/>
      <c r="Y20" s="3221"/>
      <c r="Z20" s="1815"/>
      <c r="AA20" s="1812">
        <v>1</v>
      </c>
      <c r="AB20" s="1812">
        <v>1</v>
      </c>
      <c r="AC20" s="1812">
        <v>1</v>
      </c>
    </row>
    <row r="21" spans="1:29" ht="27.6">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8"/>
      <c r="G22" s="2616"/>
      <c r="H22" s="448"/>
      <c r="I22" s="447"/>
      <c r="J22" s="448"/>
      <c r="K22" s="2617"/>
      <c r="L22" s="1143"/>
      <c r="M22" s="1134"/>
      <c r="N22" s="1134"/>
      <c r="O22" s="1134"/>
      <c r="P22" s="3228"/>
      <c r="Q22" s="1811"/>
      <c r="R22" s="774"/>
      <c r="S22" s="775"/>
      <c r="T22" s="774"/>
      <c r="U22" s="775"/>
      <c r="V22" s="774"/>
      <c r="W22" s="775"/>
      <c r="X22" s="1814"/>
      <c r="Y22" s="3221"/>
      <c r="Z22" s="1815"/>
      <c r="AA22" s="1812">
        <v>1</v>
      </c>
      <c r="AB22" s="1812">
        <v>1</v>
      </c>
      <c r="AC22" s="1812">
        <v>1</v>
      </c>
    </row>
    <row r="23" spans="1:29" ht="55.2">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1" t="str">
        <f>B23</f>
        <v>自然及人文环境</v>
      </c>
      <c r="R23" s="774" t="s">
        <v>21</v>
      </c>
      <c r="S23" s="775">
        <f>F23</f>
        <v>100</v>
      </c>
      <c r="T23" s="774" t="s">
        <v>21</v>
      </c>
      <c r="U23" s="775">
        <f>H23</f>
        <v>100</v>
      </c>
      <c r="V23" s="774" t="s">
        <v>21</v>
      </c>
      <c r="W23" s="775">
        <f>J23</f>
        <v>100</v>
      </c>
      <c r="X23" s="1814"/>
      <c r="Y23" s="3221"/>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2561</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8"/>
      <c r="B26" s="422" t="s">
        <v>2562</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8"/>
      <c r="Q26" s="1811" t="str">
        <f t="shared" si="11"/>
        <v>朝向</v>
      </c>
      <c r="R26" s="774" t="s">
        <v>21</v>
      </c>
      <c r="S26" s="775">
        <f t="shared" si="12"/>
        <v>100</v>
      </c>
      <c r="T26" s="774" t="s">
        <v>21</v>
      </c>
      <c r="U26" s="775">
        <f t="shared" si="13"/>
        <v>100</v>
      </c>
      <c r="V26" s="774" t="s">
        <v>21</v>
      </c>
      <c r="W26" s="775">
        <f t="shared" si="14"/>
        <v>100</v>
      </c>
      <c r="X26" s="1814"/>
      <c r="Y26" s="3221"/>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8"/>
      <c r="Q27" s="1796">
        <f t="shared" si="11"/>
        <v>111</v>
      </c>
      <c r="R27" s="770" t="s">
        <v>21</v>
      </c>
      <c r="S27" s="771">
        <f t="shared" si="12"/>
        <v>100</v>
      </c>
      <c r="T27" s="770" t="s">
        <v>21</v>
      </c>
      <c r="U27" s="771">
        <f t="shared" si="13"/>
        <v>100</v>
      </c>
      <c r="V27" s="770" t="s">
        <v>21</v>
      </c>
      <c r="W27" s="771">
        <f t="shared" si="14"/>
        <v>100</v>
      </c>
      <c r="X27" s="772"/>
      <c r="Y27" s="3221"/>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8"/>
      <c r="Q28" s="1811">
        <f t="shared" si="11"/>
        <v>111</v>
      </c>
      <c r="R28" s="774" t="s">
        <v>21</v>
      </c>
      <c r="S28" s="775">
        <f t="shared" si="12"/>
        <v>100</v>
      </c>
      <c r="T28" s="774" t="s">
        <v>21</v>
      </c>
      <c r="U28" s="775">
        <f t="shared" si="13"/>
        <v>100</v>
      </c>
      <c r="V28" s="774" t="s">
        <v>21</v>
      </c>
      <c r="W28" s="775">
        <f t="shared" si="14"/>
        <v>100</v>
      </c>
      <c r="X28" s="1814"/>
      <c r="Y28" s="3221"/>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8"/>
      <c r="Q29" s="1811">
        <f t="shared" si="11"/>
        <v>111</v>
      </c>
      <c r="R29" s="774" t="s">
        <v>21</v>
      </c>
      <c r="S29" s="775">
        <f t="shared" si="12"/>
        <v>100</v>
      </c>
      <c r="T29" s="774" t="s">
        <v>21</v>
      </c>
      <c r="U29" s="775">
        <f t="shared" si="13"/>
        <v>100</v>
      </c>
      <c r="V29" s="774" t="s">
        <v>21</v>
      </c>
      <c r="W29" s="775">
        <f t="shared" si="14"/>
        <v>100</v>
      </c>
      <c r="X29" s="1814"/>
      <c r="Y29" s="3221"/>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8"/>
      <c r="Q30" s="1811">
        <f t="shared" si="11"/>
        <v>111</v>
      </c>
      <c r="R30" s="774" t="s">
        <v>21</v>
      </c>
      <c r="S30" s="775">
        <f t="shared" si="12"/>
        <v>100</v>
      </c>
      <c r="T30" s="774" t="s">
        <v>21</v>
      </c>
      <c r="U30" s="775">
        <f t="shared" si="13"/>
        <v>100</v>
      </c>
      <c r="V30" s="774" t="s">
        <v>21</v>
      </c>
      <c r="W30" s="775">
        <f t="shared" si="14"/>
        <v>100</v>
      </c>
      <c r="X30" s="1814"/>
      <c r="Y30" s="3221"/>
      <c r="Z30" s="1815">
        <f t="shared" si="18"/>
        <v>111</v>
      </c>
      <c r="AA30" s="1812">
        <f t="shared" si="15"/>
        <v>1</v>
      </c>
      <c r="AB30" s="1812">
        <f t="shared" si="16"/>
        <v>1</v>
      </c>
      <c r="AC30" s="1812">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8"/>
      <c r="Q31" s="1811">
        <f t="shared" si="11"/>
        <v>111</v>
      </c>
      <c r="R31" s="774" t="s">
        <v>21</v>
      </c>
      <c r="S31" s="775">
        <f t="shared" si="12"/>
        <v>100</v>
      </c>
      <c r="T31" s="774" t="s">
        <v>21</v>
      </c>
      <c r="U31" s="775">
        <f t="shared" si="13"/>
        <v>100</v>
      </c>
      <c r="V31" s="774" t="s">
        <v>21</v>
      </c>
      <c r="W31" s="775">
        <f t="shared" si="14"/>
        <v>100</v>
      </c>
      <c r="X31" s="1814"/>
      <c r="Y31" s="3221"/>
      <c r="Z31" s="1815">
        <f t="shared" si="18"/>
        <v>111</v>
      </c>
      <c r="AA31" s="1812">
        <f t="shared" si="15"/>
        <v>1</v>
      </c>
      <c r="AB31" s="1812">
        <f t="shared" si="16"/>
        <v>1</v>
      </c>
      <c r="AC31" s="1812">
        <f t="shared" si="17"/>
        <v>1</v>
      </c>
    </row>
    <row r="32" spans="1:29" ht="15">
      <c r="A32" s="440" t="s">
        <v>2563</v>
      </c>
      <c r="B32" s="71" t="s">
        <v>2564</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2" t="s">
        <v>2565</v>
      </c>
      <c r="Q32" s="1811" t="str">
        <f t="shared" si="11"/>
        <v>建筑类型</v>
      </c>
      <c r="R32" s="774" t="s">
        <v>21</v>
      </c>
      <c r="S32" s="775">
        <f t="shared" si="12"/>
        <v>100</v>
      </c>
      <c r="T32" s="774" t="s">
        <v>21</v>
      </c>
      <c r="U32" s="775">
        <f t="shared" si="13"/>
        <v>100</v>
      </c>
      <c r="V32" s="774" t="s">
        <v>21</v>
      </c>
      <c r="W32" s="775">
        <f t="shared" si="14"/>
        <v>100</v>
      </c>
      <c r="X32" s="1814"/>
      <c r="Y32" s="3225" t="s">
        <v>2565</v>
      </c>
      <c r="Z32" s="1815" t="str">
        <f t="shared" si="18"/>
        <v>建筑类型</v>
      </c>
      <c r="AA32" s="1812">
        <f t="shared" si="15"/>
        <v>1</v>
      </c>
      <c r="AB32" s="1812">
        <f t="shared" si="16"/>
        <v>1</v>
      </c>
      <c r="AC32" s="181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2" t="e">
        <f t="shared" si="15"/>
        <v>#N/A</v>
      </c>
      <c r="AB33" s="1812" t="e">
        <f t="shared" si="16"/>
        <v>#N/A</v>
      </c>
      <c r="AC33" s="1812" t="e">
        <f t="shared" si="17"/>
        <v>#N/A</v>
      </c>
    </row>
    <row r="34" spans="1:29" ht="15">
      <c r="A34" s="472"/>
      <c r="B34" s="422" t="s">
        <v>2567</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3"/>
      <c r="Q34" s="1811" t="str">
        <f t="shared" si="11"/>
        <v>建筑结构</v>
      </c>
      <c r="R34" s="774" t="s">
        <v>21</v>
      </c>
      <c r="S34" s="775">
        <f t="shared" si="12"/>
        <v>100</v>
      </c>
      <c r="T34" s="774" t="s">
        <v>21</v>
      </c>
      <c r="U34" s="775">
        <f t="shared" si="13"/>
        <v>100</v>
      </c>
      <c r="V34" s="774" t="s">
        <v>21</v>
      </c>
      <c r="W34" s="775">
        <f t="shared" si="14"/>
        <v>100</v>
      </c>
      <c r="X34" s="1814"/>
      <c r="Y34" s="3225"/>
      <c r="Z34" s="1815" t="str">
        <f t="shared" si="18"/>
        <v>建筑结构</v>
      </c>
      <c r="AA34" s="1812">
        <f t="shared" si="15"/>
        <v>1</v>
      </c>
      <c r="AB34" s="1812">
        <f t="shared" si="16"/>
        <v>1</v>
      </c>
      <c r="AC34" s="1812">
        <f t="shared" si="17"/>
        <v>1</v>
      </c>
    </row>
    <row r="35" spans="1:29" ht="15">
      <c r="A35" s="472"/>
      <c r="B35" s="422" t="s">
        <v>2568</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3"/>
      <c r="Q35" s="1811" t="str">
        <f t="shared" si="11"/>
        <v>建筑品质</v>
      </c>
      <c r="R35" s="774" t="s">
        <v>21</v>
      </c>
      <c r="S35" s="775">
        <f t="shared" si="12"/>
        <v>100</v>
      </c>
      <c r="T35" s="774" t="s">
        <v>21</v>
      </c>
      <c r="U35" s="775">
        <f t="shared" si="13"/>
        <v>100</v>
      </c>
      <c r="V35" s="774" t="s">
        <v>21</v>
      </c>
      <c r="W35" s="775">
        <f t="shared" si="14"/>
        <v>100</v>
      </c>
      <c r="X35" s="1814"/>
      <c r="Y35" s="3225"/>
      <c r="Z35" s="1815" t="str">
        <f t="shared" si="18"/>
        <v>建筑品质</v>
      </c>
      <c r="AA35" s="1812">
        <f t="shared" si="15"/>
        <v>1</v>
      </c>
      <c r="AB35" s="1812">
        <f t="shared" si="16"/>
        <v>1</v>
      </c>
      <c r="AC35" s="1812">
        <f t="shared" si="17"/>
        <v>1</v>
      </c>
    </row>
    <row r="36" spans="1:29" ht="15">
      <c r="A36" s="472"/>
      <c r="B36" s="422" t="s">
        <v>2569</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3"/>
      <c r="Q36" s="1811" t="str">
        <f t="shared" si="11"/>
        <v>公共部分装修</v>
      </c>
      <c r="R36" s="774" t="s">
        <v>21</v>
      </c>
      <c r="S36" s="775">
        <f t="shared" si="12"/>
        <v>100</v>
      </c>
      <c r="T36" s="774" t="s">
        <v>21</v>
      </c>
      <c r="U36" s="775">
        <f t="shared" si="13"/>
        <v>100</v>
      </c>
      <c r="V36" s="774" t="s">
        <v>21</v>
      </c>
      <c r="W36" s="775">
        <f t="shared" si="14"/>
        <v>100</v>
      </c>
      <c r="X36" s="1814"/>
      <c r="Y36" s="3225"/>
      <c r="Z36" s="1815" t="str">
        <f t="shared" si="18"/>
        <v>公共部分装修</v>
      </c>
      <c r="AA36" s="1812">
        <f t="shared" si="15"/>
        <v>1</v>
      </c>
      <c r="AB36" s="1812">
        <f t="shared" si="16"/>
        <v>1</v>
      </c>
      <c r="AC36" s="181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6"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2571</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3" t="s">
        <v>2565</v>
      </c>
      <c r="Q38" s="1811" t="str">
        <f t="shared" si="11"/>
        <v>物业管理</v>
      </c>
      <c r="R38" s="774" t="s">
        <v>21</v>
      </c>
      <c r="S38" s="775">
        <f t="shared" si="12"/>
        <v>100</v>
      </c>
      <c r="T38" s="774" t="s">
        <v>21</v>
      </c>
      <c r="U38" s="775">
        <f t="shared" si="13"/>
        <v>100</v>
      </c>
      <c r="V38" s="774" t="s">
        <v>21</v>
      </c>
      <c r="W38" s="775">
        <f t="shared" si="14"/>
        <v>100</v>
      </c>
      <c r="X38" s="1814"/>
      <c r="Y38" s="3225" t="s">
        <v>2565</v>
      </c>
      <c r="Z38" s="1815" t="str">
        <f t="shared" si="18"/>
        <v>物业管理</v>
      </c>
      <c r="AA38" s="1812">
        <f t="shared" si="15"/>
        <v>1</v>
      </c>
      <c r="AB38" s="1812">
        <f t="shared" si="16"/>
        <v>1</v>
      </c>
      <c r="AC38" s="1812">
        <f t="shared" si="17"/>
        <v>1</v>
      </c>
    </row>
    <row r="39" spans="1:29" ht="15">
      <c r="A39" s="472"/>
      <c r="B39" s="422" t="s">
        <v>2572</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3"/>
      <c r="Q39" s="1811" t="str">
        <f t="shared" si="11"/>
        <v>市政基础设施</v>
      </c>
      <c r="R39" s="774" t="s">
        <v>21</v>
      </c>
      <c r="S39" s="775">
        <f t="shared" si="12"/>
        <v>100</v>
      </c>
      <c r="T39" s="774" t="s">
        <v>21</v>
      </c>
      <c r="U39" s="775">
        <f t="shared" si="13"/>
        <v>100</v>
      </c>
      <c r="V39" s="774" t="s">
        <v>21</v>
      </c>
      <c r="W39" s="775">
        <f t="shared" si="14"/>
        <v>100</v>
      </c>
      <c r="X39" s="1814"/>
      <c r="Y39" s="3225"/>
      <c r="Z39" s="1815" t="str">
        <f t="shared" si="18"/>
        <v>市政基础设施</v>
      </c>
      <c r="AA39" s="1812">
        <f t="shared" si="15"/>
        <v>1</v>
      </c>
      <c r="AB39" s="1812">
        <f t="shared" si="16"/>
        <v>1</v>
      </c>
      <c r="AC39" s="1812">
        <f t="shared" si="17"/>
        <v>1</v>
      </c>
    </row>
    <row r="40" spans="1:29" ht="15">
      <c r="A40" s="472"/>
      <c r="B40" s="422" t="s">
        <v>2573</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3"/>
      <c r="Q40" s="1811" t="str">
        <f t="shared" si="11"/>
        <v>房型</v>
      </c>
      <c r="R40" s="774" t="s">
        <v>21</v>
      </c>
      <c r="S40" s="775">
        <f t="shared" si="12"/>
        <v>100</v>
      </c>
      <c r="T40" s="774" t="s">
        <v>21</v>
      </c>
      <c r="U40" s="775">
        <f t="shared" si="13"/>
        <v>100</v>
      </c>
      <c r="V40" s="774" t="s">
        <v>21</v>
      </c>
      <c r="W40" s="775">
        <f t="shared" si="14"/>
        <v>100</v>
      </c>
      <c r="X40" s="1814"/>
      <c r="Y40" s="3225"/>
      <c r="Z40" s="1815" t="str">
        <f t="shared" si="18"/>
        <v>房型</v>
      </c>
      <c r="AA40" s="1812">
        <f t="shared" si="15"/>
        <v>1</v>
      </c>
      <c r="AB40" s="1812">
        <f t="shared" si="16"/>
        <v>1</v>
      </c>
      <c r="AC40" s="1812">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2">
        <f t="shared" si="15"/>
        <v>1</v>
      </c>
      <c r="AB41" s="1812">
        <f t="shared" si="16"/>
        <v>1</v>
      </c>
      <c r="AC41" s="1812">
        <f t="shared" si="17"/>
        <v>1</v>
      </c>
    </row>
    <row r="42" spans="1:29" ht="15">
      <c r="A42" s="472"/>
      <c r="B42" s="422" t="s">
        <v>2575</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3"/>
      <c r="Q42" s="1811" t="str">
        <f t="shared" si="11"/>
        <v>内部装修</v>
      </c>
      <c r="R42" s="774" t="s">
        <v>21</v>
      </c>
      <c r="S42" s="775">
        <f t="shared" si="12"/>
        <v>100</v>
      </c>
      <c r="T42" s="774" t="s">
        <v>21</v>
      </c>
      <c r="U42" s="775">
        <f t="shared" si="13"/>
        <v>100</v>
      </c>
      <c r="V42" s="774" t="s">
        <v>21</v>
      </c>
      <c r="W42" s="775">
        <f t="shared" si="14"/>
        <v>100</v>
      </c>
      <c r="X42" s="1814"/>
      <c r="Y42" s="3225"/>
      <c r="Z42" s="1815" t="str">
        <f t="shared" si="18"/>
        <v>内部装修</v>
      </c>
      <c r="AA42" s="1812">
        <f t="shared" si="15"/>
        <v>1</v>
      </c>
      <c r="AB42" s="1812">
        <f t="shared" si="16"/>
        <v>1</v>
      </c>
      <c r="AC42" s="1812">
        <f t="shared" si="17"/>
        <v>1</v>
      </c>
    </row>
    <row r="43" spans="1:29" ht="28.8">
      <c r="A43" s="472"/>
      <c r="B43" s="422" t="s">
        <v>2576</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3"/>
      <c r="Q43" s="1811" t="str">
        <f t="shared" si="11"/>
        <v>内部装修维护情况</v>
      </c>
      <c r="R43" s="774" t="s">
        <v>21</v>
      </c>
      <c r="S43" s="775">
        <f t="shared" si="12"/>
        <v>100</v>
      </c>
      <c r="T43" s="774" t="s">
        <v>21</v>
      </c>
      <c r="U43" s="775">
        <f t="shared" si="13"/>
        <v>100</v>
      </c>
      <c r="V43" s="774" t="s">
        <v>21</v>
      </c>
      <c r="W43" s="775">
        <f t="shared" si="14"/>
        <v>100</v>
      </c>
      <c r="X43" s="1814"/>
      <c r="Y43" s="3225"/>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3"/>
      <c r="Q44" s="1796">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3"/>
      <c r="Q45" s="1811">
        <f t="shared" si="11"/>
        <v>111</v>
      </c>
      <c r="R45" s="774" t="s">
        <v>21</v>
      </c>
      <c r="S45" s="775">
        <f t="shared" si="12"/>
        <v>100</v>
      </c>
      <c r="T45" s="774" t="s">
        <v>21</v>
      </c>
      <c r="U45" s="775">
        <f t="shared" si="13"/>
        <v>100</v>
      </c>
      <c r="V45" s="774" t="s">
        <v>21</v>
      </c>
      <c r="W45" s="775">
        <f t="shared" si="14"/>
        <v>100</v>
      </c>
      <c r="X45" s="1814"/>
      <c r="Y45" s="3225"/>
      <c r="Z45" s="1815">
        <f t="shared" si="18"/>
        <v>111</v>
      </c>
      <c r="AA45" s="1812">
        <f t="shared" si="15"/>
        <v>1</v>
      </c>
      <c r="AB45" s="1812">
        <f t="shared" si="16"/>
        <v>1</v>
      </c>
      <c r="AC45" s="1812">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4"/>
      <c r="Q46" s="1811">
        <f t="shared" si="11"/>
        <v>111</v>
      </c>
      <c r="R46" s="774" t="s">
        <v>20</v>
      </c>
      <c r="S46" s="775">
        <f t="shared" si="12"/>
        <v>100</v>
      </c>
      <c r="T46" s="774" t="s">
        <v>20</v>
      </c>
      <c r="U46" s="775">
        <f t="shared" si="13"/>
        <v>100</v>
      </c>
      <c r="V46" s="774" t="s">
        <v>20</v>
      </c>
      <c r="W46" s="775">
        <f t="shared" si="14"/>
        <v>100</v>
      </c>
      <c r="X46" s="1814"/>
      <c r="Y46" s="3226"/>
      <c r="Z46" s="1815">
        <f t="shared" si="18"/>
        <v>111</v>
      </c>
      <c r="AA46" s="1812">
        <f t="shared" si="15"/>
        <v>1</v>
      </c>
      <c r="AB46" s="1812">
        <f t="shared" si="16"/>
        <v>1</v>
      </c>
      <c r="AC46" s="1812">
        <f t="shared" si="17"/>
        <v>1</v>
      </c>
    </row>
    <row r="47" spans="1:29" ht="14.4">
      <c r="A47" s="479" t="s">
        <v>2577</v>
      </c>
      <c r="B47" s="480"/>
      <c r="C47" s="1409" t="s">
        <v>19</v>
      </c>
      <c r="D47" s="1410"/>
      <c r="E47" s="1411"/>
      <c r="F47" s="1412"/>
      <c r="G47" s="1413"/>
      <c r="H47" s="1414"/>
      <c r="I47" s="1411"/>
      <c r="J47" s="1414"/>
      <c r="K47" s="2626"/>
      <c r="L47" s="1146"/>
      <c r="M47" s="1147"/>
      <c r="N47" s="1134"/>
      <c r="O47" s="1147"/>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 thickBot="1">
      <c r="A48" s="486" t="s">
        <v>2578</v>
      </c>
      <c r="B48" s="487"/>
      <c r="C48" s="1415" t="e">
        <f>R49</f>
        <v>#DIV/0!</v>
      </c>
      <c r="D48" s="1416"/>
      <c r="E48" s="1417" t="e">
        <f>R48</f>
        <v>#DIV/0!</v>
      </c>
      <c r="F48" s="1417"/>
      <c r="G48" s="1415" t="e">
        <f>T48</f>
        <v>#DIV/0!</v>
      </c>
      <c r="H48" s="1416"/>
      <c r="I48" s="1417" t="e">
        <f>V48</f>
        <v>#DIV/0!</v>
      </c>
      <c r="J48" s="1416"/>
      <c r="K48" s="2627"/>
      <c r="L48" s="1146"/>
      <c r="M48" s="1147"/>
      <c r="N48" s="1147"/>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 thickBot="1">
      <c r="A49" s="492" t="s">
        <v>2579</v>
      </c>
      <c r="B49" s="493"/>
      <c r="C49" s="1418" t="e">
        <f>R49</f>
        <v>#DIV/0!</v>
      </c>
      <c r="D49" s="1419"/>
      <c r="E49" s="1419"/>
      <c r="F49" s="1419"/>
      <c r="G49" s="1419"/>
      <c r="H49" s="1419"/>
      <c r="I49" s="1419"/>
      <c r="J49" s="1419"/>
      <c r="K49" s="2628"/>
      <c r="L49" s="1146"/>
      <c r="M49" s="1147"/>
      <c r="N49" s="1147"/>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1"/>
      <c r="Q57" s="504"/>
    </row>
    <row r="58" spans="1:29" s="508" customFormat="1" ht="14.4">
      <c r="A58" s="505" t="s">
        <v>2584</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c r="A59" s="509"/>
      <c r="B59" s="2632"/>
      <c r="C59" s="1574">
        <v>100</v>
      </c>
      <c r="D59" s="511"/>
      <c r="E59" s="512"/>
      <c r="F59" s="512"/>
      <c r="G59" s="512"/>
      <c r="H59" s="512"/>
      <c r="I59" s="512"/>
      <c r="J59" s="512"/>
      <c r="K59" s="512"/>
      <c r="L59" s="512"/>
      <c r="M59" s="513"/>
      <c r="N59" s="512"/>
      <c r="O59" s="513"/>
      <c r="P59" s="2633"/>
    </row>
    <row r="60" spans="1:29" s="117" customFormat="1" ht="15" thickBot="1">
      <c r="A60" s="515" t="s">
        <v>2585</v>
      </c>
      <c r="B60" s="516"/>
      <c r="C60" s="517"/>
      <c r="D60" s="518"/>
      <c r="E60" s="518"/>
      <c r="F60" s="518"/>
      <c r="G60" s="518"/>
      <c r="H60" s="518"/>
      <c r="I60" s="518"/>
      <c r="J60" s="518"/>
      <c r="K60" s="518"/>
      <c r="L60" s="518"/>
      <c r="M60" s="519"/>
      <c r="N60" s="518"/>
      <c r="O60" s="519"/>
      <c r="P60" s="2633"/>
      <c r="Q60" s="504"/>
    </row>
    <row r="61" spans="1:29" s="117" customFormat="1" ht="14.4">
      <c r="A61" s="521" t="s">
        <v>2586</v>
      </c>
      <c r="B61" s="510"/>
      <c r="C61" s="522" t="s">
        <v>2587</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2588</v>
      </c>
      <c r="B63" s="528" t="s">
        <v>2554</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2610</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2611</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2563</v>
      </c>
      <c r="B100" s="528" t="s">
        <v>2612</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2615</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2616</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2617</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2618</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2619</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7">
        <v>6</v>
      </c>
      <c r="C139" s="1088">
        <v>96</v>
      </c>
      <c r="D139" s="2653" t="s">
        <v>2631</v>
      </c>
      <c r="E139" s="1089">
        <v>100</v>
      </c>
      <c r="F139" s="1090">
        <v>102.5</v>
      </c>
      <c r="G139" s="2653" t="s">
        <v>2631</v>
      </c>
      <c r="H139" s="1091">
        <v>105</v>
      </c>
      <c r="I139" s="2654" t="s">
        <v>2632</v>
      </c>
      <c r="J139" s="1088">
        <v>20</v>
      </c>
      <c r="K139" s="1092">
        <f>C145/(J139-2)</f>
        <v>4.0555555555555553E-3</v>
      </c>
    </row>
    <row r="140" spans="1:17" ht="15">
      <c r="B140" s="1093">
        <v>5</v>
      </c>
      <c r="C140" s="1094">
        <v>100</v>
      </c>
      <c r="D140" s="1094"/>
      <c r="E140" s="1095"/>
      <c r="F140" s="1096">
        <v>102</v>
      </c>
      <c r="G140" s="1094"/>
      <c r="H140" s="1097"/>
      <c r="I140" s="2655" t="s">
        <v>2633</v>
      </c>
      <c r="J140" s="315">
        <f>ROUNDUP((J139-1)/2,0)</f>
        <v>10</v>
      </c>
      <c r="K140" s="1098">
        <v>100</v>
      </c>
    </row>
    <row r="141" spans="1:17" ht="15">
      <c r="B141" s="1093">
        <v>4</v>
      </c>
      <c r="C141" s="1094">
        <v>102</v>
      </c>
      <c r="D141" s="1094"/>
      <c r="E141" s="1095"/>
      <c r="F141" s="1096">
        <v>101.5</v>
      </c>
      <c r="G141" s="1094"/>
      <c r="H141" s="1097"/>
      <c r="I141" s="2655" t="s">
        <v>2634</v>
      </c>
      <c r="J141" s="315">
        <v>1</v>
      </c>
      <c r="K141" s="1099">
        <f>ROUND(100+(J141-J140)*K139*100,1)</f>
        <v>96.4</v>
      </c>
    </row>
    <row r="142" spans="1:17" ht="15">
      <c r="B142" s="1093">
        <v>3</v>
      </c>
      <c r="C142" s="1094">
        <v>103</v>
      </c>
      <c r="D142" s="1094"/>
      <c r="E142" s="1095"/>
      <c r="F142" s="1096">
        <v>101</v>
      </c>
      <c r="G142" s="1094"/>
      <c r="H142" s="1097"/>
      <c r="I142" s="2655" t="s">
        <v>2635</v>
      </c>
      <c r="J142" s="315">
        <f>J139</f>
        <v>20</v>
      </c>
      <c r="K142" s="1100">
        <v>95</v>
      </c>
    </row>
    <row r="143" spans="1:17" ht="15">
      <c r="B143" s="1093">
        <v>2</v>
      </c>
      <c r="C143" s="1094">
        <v>100</v>
      </c>
      <c r="D143" s="1094"/>
      <c r="E143" s="1095"/>
      <c r="F143" s="1096">
        <v>100.5</v>
      </c>
      <c r="G143" s="1094"/>
      <c r="H143" s="1097"/>
      <c r="I143" s="2655" t="s">
        <v>2636</v>
      </c>
      <c r="J143" s="1094">
        <v>15</v>
      </c>
      <c r="K143" s="1099">
        <f>ROUND(100+(J143-J140)*K139*100,1)</f>
        <v>102</v>
      </c>
    </row>
    <row r="144" spans="1:17" ht="15">
      <c r="B144" s="1093">
        <v>1</v>
      </c>
      <c r="C144" s="1094">
        <v>98</v>
      </c>
      <c r="D144" s="2656" t="s">
        <v>2637</v>
      </c>
      <c r="E144" s="1095">
        <v>102</v>
      </c>
      <c r="F144" s="1101">
        <v>100</v>
      </c>
      <c r="G144" s="2656" t="s">
        <v>2637</v>
      </c>
      <c r="H144" s="1097">
        <v>105</v>
      </c>
      <c r="I144" s="2655" t="s">
        <v>2636</v>
      </c>
      <c r="J144" s="1094">
        <v>18</v>
      </c>
      <c r="K144" s="1099">
        <f>ROUND(100+(J144-J140)*K139*100,1)</f>
        <v>103.2</v>
      </c>
    </row>
    <row r="145" spans="2:11" ht="16.2" thickBot="1">
      <c r="B145" s="2657" t="s">
        <v>2638</v>
      </c>
      <c r="C145" s="1102">
        <f>ROUND(MAX(C139:C144)/MIN(C139:C144)-1,3)</f>
        <v>7.2999999999999995E-2</v>
      </c>
      <c r="D145" s="1103"/>
      <c r="E145" s="1103"/>
      <c r="F145" s="2658" t="s">
        <v>2639</v>
      </c>
      <c r="G145" s="2659"/>
      <c r="H145" s="2660"/>
      <c r="I145" s="2661" t="s">
        <v>2636</v>
      </c>
      <c r="J145" s="1104">
        <v>8</v>
      </c>
      <c r="K145" s="1105">
        <f>ROUND(100+(J145-J140)*K139*100,1)</f>
        <v>99.2</v>
      </c>
    </row>
    <row r="147" spans="2:11" ht="14.4">
      <c r="B147" s="2642" t="s">
        <v>2640</v>
      </c>
    </row>
    <row r="148" spans="2:11" ht="14.4">
      <c r="B148" s="264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587" t="s">
        <v>2642</v>
      </c>
      <c r="C1" s="1635" t="s">
        <v>2530</v>
      </c>
      <c r="D1" s="1622"/>
      <c r="E1" s="2662"/>
      <c r="F1" s="2589"/>
      <c r="G1" s="1632" t="s">
        <v>2643</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2327</v>
      </c>
      <c r="B2" s="1420"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2329</v>
      </c>
      <c r="B3" s="609" t="e">
        <f ca="1">IF(C2="——",C49,ROUND(B2*10000/D3,0))</f>
        <v>#DIV/0!</v>
      </c>
      <c r="C3" s="400" t="s">
        <v>2644</v>
      </c>
      <c r="D3" s="399">
        <f>IF(D1="",'数据-汇总表'!E3,SUMIF('数据-汇总表'!$C19:$C33,D1,'数据-汇总表'!$E19:$E33))</f>
        <v>138723.22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213" t="s">
        <v>2648</v>
      </c>
      <c r="AC4" s="3183" t="s">
        <v>2649</v>
      </c>
    </row>
    <row r="5" spans="1:29">
      <c r="A5" s="404"/>
      <c r="B5" s="405"/>
      <c r="C5" s="3194" t="s">
        <v>2542</v>
      </c>
      <c r="D5" s="3195"/>
      <c r="E5" s="3192" t="s">
        <v>2543</v>
      </c>
      <c r="F5" s="3193"/>
      <c r="G5" s="3194" t="s">
        <v>2544</v>
      </c>
      <c r="H5" s="3195"/>
      <c r="I5" s="3194" t="s">
        <v>2545</v>
      </c>
      <c r="J5" s="3195"/>
      <c r="K5" s="610"/>
      <c r="L5" s="1133"/>
      <c r="M5" s="1134"/>
      <c r="N5" s="1134"/>
      <c r="O5" s="1134"/>
      <c r="P5" s="3207"/>
      <c r="Q5" s="3208"/>
      <c r="R5" s="3190"/>
      <c r="S5" s="3191"/>
      <c r="T5" s="3190"/>
      <c r="U5" s="3191"/>
      <c r="V5" s="3213"/>
      <c r="W5" s="3213"/>
      <c r="X5" s="1814"/>
      <c r="Y5" s="3190"/>
      <c r="Z5" s="3191"/>
      <c r="AA5" s="3184"/>
      <c r="AB5" s="3213"/>
      <c r="AC5" s="3184"/>
    </row>
    <row r="6" spans="1:29" ht="15" thickBot="1">
      <c r="A6" s="406"/>
      <c r="B6" s="407"/>
      <c r="C6" s="3196" t="s">
        <v>2546</v>
      </c>
      <c r="D6" s="3197"/>
      <c r="E6" s="3198" t="s">
        <v>2546</v>
      </c>
      <c r="F6" s="3199"/>
      <c r="G6" s="3196" t="s">
        <v>2546</v>
      </c>
      <c r="H6" s="3197"/>
      <c r="I6" s="3196" t="s">
        <v>2546</v>
      </c>
      <c r="J6" s="3197"/>
      <c r="K6" s="610" t="s">
        <v>2547</v>
      </c>
      <c r="L6" s="1133"/>
      <c r="M6" s="1134"/>
      <c r="N6" s="1134"/>
      <c r="O6" s="1134"/>
      <c r="P6" s="3209"/>
      <c r="Q6" s="3210"/>
      <c r="R6" s="3190"/>
      <c r="S6" s="3191"/>
      <c r="T6" s="3211"/>
      <c r="U6" s="3212"/>
      <c r="V6" s="3213"/>
      <c r="W6" s="3213"/>
      <c r="X6" s="1814"/>
      <c r="Y6" s="3211"/>
      <c r="Z6" s="3212"/>
      <c r="AA6" s="3185"/>
      <c r="AB6" s="3213"/>
      <c r="AC6" s="3185"/>
    </row>
    <row r="7" spans="1:29" s="117" customFormat="1" ht="1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6" t="s">
        <v>2549</v>
      </c>
      <c r="Q7" s="3214"/>
      <c r="R7" s="770" t="s">
        <v>17</v>
      </c>
      <c r="S7" s="771">
        <f t="shared" ref="S7:S15" si="0">F7</f>
        <v>0</v>
      </c>
      <c r="T7" s="770" t="s">
        <v>17</v>
      </c>
      <c r="U7" s="771">
        <f t="shared" ref="U7:U15" si="1">H7</f>
        <v>0</v>
      </c>
      <c r="V7" s="770" t="s">
        <v>17</v>
      </c>
      <c r="W7" s="771">
        <f t="shared" ref="W7:W15" si="2">J7</f>
        <v>0</v>
      </c>
      <c r="X7" s="772"/>
      <c r="Y7" s="3186" t="s">
        <v>2549</v>
      </c>
      <c r="Z7" s="3187"/>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6" t="s">
        <v>2552</v>
      </c>
      <c r="Q8" s="3187"/>
      <c r="R8" s="770" t="s">
        <v>17</v>
      </c>
      <c r="S8" s="771">
        <f t="shared" si="0"/>
        <v>0</v>
      </c>
      <c r="T8" s="770" t="s">
        <v>17</v>
      </c>
      <c r="U8" s="771">
        <f t="shared" si="1"/>
        <v>0</v>
      </c>
      <c r="V8" s="770" t="s">
        <v>17</v>
      </c>
      <c r="W8" s="771">
        <f t="shared" si="2"/>
        <v>0</v>
      </c>
      <c r="X8" s="772"/>
      <c r="Y8" s="3186" t="s">
        <v>2552</v>
      </c>
      <c r="Z8" s="3187"/>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2559</v>
      </c>
      <c r="B15" s="69" t="s">
        <v>2653</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2560</v>
      </c>
      <c r="Q15" s="1811" t="str">
        <f t="shared" si="6"/>
        <v>商业繁华度</v>
      </c>
      <c r="R15" s="774" t="s">
        <v>17</v>
      </c>
      <c r="S15" s="775">
        <f t="shared" si="0"/>
        <v>100</v>
      </c>
      <c r="T15" s="774" t="s">
        <v>17</v>
      </c>
      <c r="U15" s="775">
        <f t="shared" si="1"/>
        <v>100</v>
      </c>
      <c r="V15" s="774" t="s">
        <v>17</v>
      </c>
      <c r="W15" s="775">
        <f t="shared" si="2"/>
        <v>100</v>
      </c>
      <c r="X15" s="1814"/>
      <c r="Y15" s="3220" t="s">
        <v>2560</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1812">
        <v>1</v>
      </c>
    </row>
    <row r="17" spans="1:29" ht="82.8">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34"/>
      <c r="P18" s="3228"/>
      <c r="Q18" s="1811"/>
      <c r="R18" s="774"/>
      <c r="S18" s="775"/>
      <c r="T18" s="774"/>
      <c r="U18" s="775"/>
      <c r="V18" s="774"/>
      <c r="W18" s="775"/>
      <c r="X18" s="1814"/>
      <c r="Y18" s="3221"/>
      <c r="Z18" s="1815"/>
      <c r="AA18" s="1812">
        <v>1</v>
      </c>
      <c r="AB18" s="1812">
        <v>1</v>
      </c>
      <c r="AC18" s="1812">
        <v>1</v>
      </c>
    </row>
    <row r="19" spans="1:29" ht="41.4">
      <c r="A19" s="428"/>
      <c r="B19" s="451" t="s">
        <v>2654</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34"/>
      <c r="P20" s="3228"/>
      <c r="Q20" s="1811"/>
      <c r="R20" s="774"/>
      <c r="S20" s="775"/>
      <c r="T20" s="774"/>
      <c r="U20" s="775"/>
      <c r="V20" s="774"/>
      <c r="W20" s="775"/>
      <c r="X20" s="1814"/>
      <c r="Y20" s="3221"/>
      <c r="Z20" s="1815"/>
      <c r="AA20" s="1812">
        <v>1</v>
      </c>
      <c r="AB20" s="1812">
        <v>1</v>
      </c>
      <c r="AC20" s="1812">
        <v>1</v>
      </c>
    </row>
    <row r="21" spans="1:29" ht="27.6">
      <c r="A21" s="428"/>
      <c r="B21" s="1387" t="s">
        <v>2655</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34"/>
      <c r="P22" s="3228"/>
      <c r="Q22" s="1811"/>
      <c r="R22" s="774"/>
      <c r="S22" s="775"/>
      <c r="T22" s="774"/>
      <c r="U22" s="775"/>
      <c r="V22" s="774"/>
      <c r="W22" s="775"/>
      <c r="X22" s="1814"/>
      <c r="Y22" s="3221"/>
      <c r="Z22" s="1815"/>
      <c r="AA22" s="1812">
        <v>1</v>
      </c>
      <c r="AB22" s="1812">
        <v>1</v>
      </c>
      <c r="AC22" s="1812">
        <v>1</v>
      </c>
    </row>
    <row r="23" spans="1:29" ht="55.2">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1" t="str">
        <f>B23</f>
        <v>自然及人文环境</v>
      </c>
      <c r="R23" s="774" t="s">
        <v>17</v>
      </c>
      <c r="S23" s="775">
        <f>F23</f>
        <v>100</v>
      </c>
      <c r="T23" s="774" t="s">
        <v>17</v>
      </c>
      <c r="U23" s="775">
        <f>H23</f>
        <v>100</v>
      </c>
      <c r="V23" s="774" t="s">
        <v>17</v>
      </c>
      <c r="W23" s="775">
        <f>J23</f>
        <v>100</v>
      </c>
      <c r="X23" s="1814"/>
      <c r="Y23" s="3221"/>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1" t="str">
        <f t="shared" ref="Q25:Q46" si="11">B25</f>
        <v>临街状况</v>
      </c>
      <c r="R25" s="774" t="s">
        <v>17</v>
      </c>
      <c r="S25" s="775">
        <f>F25</f>
        <v>100</v>
      </c>
      <c r="T25" s="774" t="s">
        <v>17</v>
      </c>
      <c r="U25" s="775">
        <f>H25</f>
        <v>100</v>
      </c>
      <c r="V25" s="774" t="s">
        <v>17</v>
      </c>
      <c r="W25" s="775">
        <f>J25</f>
        <v>100</v>
      </c>
      <c r="X25" s="1814"/>
      <c r="Y25" s="3221"/>
      <c r="Z25" s="1815" t="str">
        <f>Q25</f>
        <v>临街状况</v>
      </c>
      <c r="AA25" s="1812">
        <f t="shared" si="3"/>
        <v>1</v>
      </c>
      <c r="AB25" s="1812">
        <f t="shared" si="4"/>
        <v>1</v>
      </c>
      <c r="AC25" s="1812">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1" t="str">
        <f t="shared" si="11"/>
        <v>平面位置/可视性</v>
      </c>
      <c r="R26" s="774" t="s">
        <v>17</v>
      </c>
      <c r="S26" s="775">
        <f>F26</f>
        <v>100</v>
      </c>
      <c r="T26" s="774" t="s">
        <v>17</v>
      </c>
      <c r="U26" s="775">
        <f>H26</f>
        <v>100</v>
      </c>
      <c r="V26" s="774" t="s">
        <v>17</v>
      </c>
      <c r="W26" s="775">
        <f>J26</f>
        <v>100</v>
      </c>
      <c r="X26" s="1814"/>
      <c r="Y26" s="3221"/>
      <c r="Z26" s="1815" t="str">
        <f>Q26</f>
        <v>平面位置/可视性</v>
      </c>
      <c r="AA26" s="1812">
        <f t="shared" si="3"/>
        <v>1</v>
      </c>
      <c r="AB26" s="1812">
        <f t="shared" si="4"/>
        <v>1</v>
      </c>
      <c r="AC26" s="1812">
        <f t="shared" si="5"/>
        <v>1</v>
      </c>
    </row>
    <row r="27" spans="1:29" s="117" customFormat="1" ht="15">
      <c r="A27" s="431"/>
      <c r="B27" s="451" t="s">
        <v>2658</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8"/>
      <c r="Q27" s="1796" t="str">
        <f t="shared" si="11"/>
        <v>人流量</v>
      </c>
      <c r="R27" s="770" t="s">
        <v>17</v>
      </c>
      <c r="S27" s="771">
        <f>F27</f>
        <v>100</v>
      </c>
      <c r="T27" s="770" t="s">
        <v>17</v>
      </c>
      <c r="U27" s="771">
        <f>H27</f>
        <v>100</v>
      </c>
      <c r="V27" s="770" t="s">
        <v>17</v>
      </c>
      <c r="W27" s="771">
        <f>J27</f>
        <v>100</v>
      </c>
      <c r="X27" s="772"/>
      <c r="Y27" s="3221"/>
      <c r="Z27" s="55" t="str">
        <f>Q27</f>
        <v>人流量</v>
      </c>
      <c r="AA27" s="1812">
        <f>D27/F27</f>
        <v>1</v>
      </c>
      <c r="AB27" s="1812">
        <f>D27/H27</f>
        <v>1</v>
      </c>
      <c r="AC27" s="181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1"/>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1">
        <f t="shared" si="11"/>
        <v>111</v>
      </c>
      <c r="R29" s="774" t="s">
        <v>17</v>
      </c>
      <c r="S29" s="775">
        <f t="shared" si="12"/>
        <v>100</v>
      </c>
      <c r="T29" s="774" t="s">
        <v>17</v>
      </c>
      <c r="U29" s="775">
        <f t="shared" si="13"/>
        <v>100</v>
      </c>
      <c r="V29" s="774" t="s">
        <v>17</v>
      </c>
      <c r="W29" s="775">
        <f t="shared" si="14"/>
        <v>100</v>
      </c>
      <c r="X29" s="1814"/>
      <c r="Y29" s="3221"/>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1812">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1812">
        <f t="shared" si="5"/>
        <v>1</v>
      </c>
    </row>
    <row r="32" spans="1:29" ht="15">
      <c r="A32" s="440" t="s">
        <v>2563</v>
      </c>
      <c r="B32" s="71" t="s">
        <v>2660</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2" t="s">
        <v>2565</v>
      </c>
      <c r="Q32" s="1811" t="str">
        <f t="shared" si="11"/>
        <v>商业类型</v>
      </c>
      <c r="R32" s="774" t="s">
        <v>17</v>
      </c>
      <c r="S32" s="775">
        <f t="shared" si="12"/>
        <v>100</v>
      </c>
      <c r="T32" s="774" t="s">
        <v>17</v>
      </c>
      <c r="U32" s="775">
        <f t="shared" si="13"/>
        <v>100</v>
      </c>
      <c r="V32" s="774" t="s">
        <v>17</v>
      </c>
      <c r="W32" s="775">
        <f t="shared" si="14"/>
        <v>100</v>
      </c>
      <c r="X32" s="1814"/>
      <c r="Y32" s="3225" t="s">
        <v>2565</v>
      </c>
      <c r="Z32" s="1815" t="str">
        <f t="shared" si="15"/>
        <v>商业类型</v>
      </c>
      <c r="AA32" s="1812">
        <f t="shared" si="3"/>
        <v>1</v>
      </c>
      <c r="AB32" s="1812">
        <f t="shared" si="4"/>
        <v>1</v>
      </c>
      <c r="AC32" s="181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2" t="e">
        <f t="shared" si="3"/>
        <v>#N/A</v>
      </c>
      <c r="AB33" s="1812" t="e">
        <f t="shared" si="4"/>
        <v>#N/A</v>
      </c>
      <c r="AC33" s="1812" t="e">
        <f t="shared" si="5"/>
        <v>#N/A</v>
      </c>
    </row>
    <row r="34" spans="1:29" ht="15">
      <c r="A34" s="472"/>
      <c r="B34" s="422" t="s">
        <v>2567</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3"/>
      <c r="Q34" s="1811" t="str">
        <f t="shared" si="11"/>
        <v>建筑结构</v>
      </c>
      <c r="R34" s="774" t="s">
        <v>17</v>
      </c>
      <c r="S34" s="775">
        <f t="shared" si="12"/>
        <v>100</v>
      </c>
      <c r="T34" s="774" t="s">
        <v>17</v>
      </c>
      <c r="U34" s="775">
        <f t="shared" si="13"/>
        <v>100</v>
      </c>
      <c r="V34" s="774" t="s">
        <v>17</v>
      </c>
      <c r="W34" s="775">
        <f t="shared" si="14"/>
        <v>100</v>
      </c>
      <c r="X34" s="1814"/>
      <c r="Y34" s="3225"/>
      <c r="Z34" s="1815" t="str">
        <f t="shared" si="15"/>
        <v>建筑结构</v>
      </c>
      <c r="AA34" s="1812">
        <f t="shared" si="3"/>
        <v>1</v>
      </c>
      <c r="AB34" s="1812">
        <f t="shared" si="4"/>
        <v>1</v>
      </c>
      <c r="AC34" s="1812">
        <f t="shared" si="5"/>
        <v>1</v>
      </c>
    </row>
    <row r="35" spans="1:29" ht="15">
      <c r="A35" s="472"/>
      <c r="B35" s="422" t="s">
        <v>2661</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3"/>
      <c r="Q35" s="1811" t="str">
        <f t="shared" si="11"/>
        <v>公共部分装修</v>
      </c>
      <c r="R35" s="774" t="s">
        <v>17</v>
      </c>
      <c r="S35" s="775">
        <f t="shared" si="12"/>
        <v>100</v>
      </c>
      <c r="T35" s="774" t="s">
        <v>17</v>
      </c>
      <c r="U35" s="775">
        <f t="shared" si="13"/>
        <v>100</v>
      </c>
      <c r="V35" s="774" t="s">
        <v>17</v>
      </c>
      <c r="W35" s="775">
        <f t="shared" si="14"/>
        <v>100</v>
      </c>
      <c r="X35" s="1814"/>
      <c r="Y35" s="3225"/>
      <c r="Z35" s="1815" t="str">
        <f t="shared" si="15"/>
        <v>公共部分装修</v>
      </c>
      <c r="AA35" s="1812">
        <f t="shared" si="3"/>
        <v>1</v>
      </c>
      <c r="AB35" s="1812">
        <f t="shared" si="4"/>
        <v>1</v>
      </c>
      <c r="AC35" s="181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1" t="str">
        <f t="shared" si="11"/>
        <v>成新度</v>
      </c>
      <c r="R36" s="774" t="s">
        <v>17</v>
      </c>
      <c r="S36" s="775" t="e">
        <f t="shared" si="12"/>
        <v>#N/A</v>
      </c>
      <c r="T36" s="774" t="s">
        <v>17</v>
      </c>
      <c r="U36" s="775" t="e">
        <f t="shared" si="13"/>
        <v>#N/A</v>
      </c>
      <c r="V36" s="774" t="s">
        <v>17</v>
      </c>
      <c r="W36" s="775" t="e">
        <f t="shared" si="14"/>
        <v>#N/A</v>
      </c>
      <c r="X36" s="1814"/>
      <c r="Y36" s="3225"/>
      <c r="Z36" s="1815" t="str">
        <f t="shared" si="15"/>
        <v>成新度</v>
      </c>
      <c r="AA36" s="1812" t="e">
        <f t="shared" si="3"/>
        <v>#N/A</v>
      </c>
      <c r="AB36" s="1812" t="e">
        <f t="shared" si="4"/>
        <v>#N/A</v>
      </c>
      <c r="AC36" s="1812" t="e">
        <f t="shared" si="5"/>
        <v>#N/A</v>
      </c>
    </row>
    <row r="37" spans="1:29" s="117" customFormat="1" ht="15">
      <c r="A37" s="473"/>
      <c r="B37" s="422" t="s">
        <v>2663</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3"/>
      <c r="Q37" s="1796"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2664</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3" t="s">
        <v>2565</v>
      </c>
      <c r="Q38" s="1811" t="str">
        <f t="shared" si="11"/>
        <v>业态</v>
      </c>
      <c r="R38" s="774" t="s">
        <v>17</v>
      </c>
      <c r="S38" s="775">
        <f t="shared" si="12"/>
        <v>100</v>
      </c>
      <c r="T38" s="774" t="s">
        <v>17</v>
      </c>
      <c r="U38" s="775">
        <f t="shared" si="13"/>
        <v>100</v>
      </c>
      <c r="V38" s="774" t="s">
        <v>17</v>
      </c>
      <c r="W38" s="775">
        <f t="shared" si="14"/>
        <v>100</v>
      </c>
      <c r="X38" s="1814"/>
      <c r="Y38" s="3225" t="s">
        <v>2565</v>
      </c>
      <c r="Z38" s="1815" t="str">
        <f t="shared" si="15"/>
        <v>业态</v>
      </c>
      <c r="AA38" s="1812">
        <f t="shared" si="3"/>
        <v>1</v>
      </c>
      <c r="AB38" s="1812">
        <f t="shared" si="4"/>
        <v>1</v>
      </c>
      <c r="AC38" s="1812">
        <f t="shared" si="5"/>
        <v>1</v>
      </c>
    </row>
    <row r="39" spans="1:29" ht="15">
      <c r="A39" s="472"/>
      <c r="B39" s="422" t="s">
        <v>2665</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3"/>
      <c r="Q39" s="1811" t="str">
        <f t="shared" si="11"/>
        <v>层高</v>
      </c>
      <c r="R39" s="774" t="s">
        <v>17</v>
      </c>
      <c r="S39" s="775">
        <f t="shared" si="12"/>
        <v>100</v>
      </c>
      <c r="T39" s="774" t="s">
        <v>17</v>
      </c>
      <c r="U39" s="775">
        <f t="shared" si="13"/>
        <v>100</v>
      </c>
      <c r="V39" s="774" t="s">
        <v>17</v>
      </c>
      <c r="W39" s="775">
        <f t="shared" si="14"/>
        <v>100</v>
      </c>
      <c r="X39" s="1814"/>
      <c r="Y39" s="3225"/>
      <c r="Z39" s="1815" t="str">
        <f t="shared" si="15"/>
        <v>层高</v>
      </c>
      <c r="AA39" s="1812">
        <f t="shared" si="3"/>
        <v>1</v>
      </c>
      <c r="AB39" s="1812">
        <f t="shared" si="4"/>
        <v>1</v>
      </c>
      <c r="AC39" s="181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1" t="str">
        <f t="shared" si="11"/>
        <v>单套建筑面积</v>
      </c>
      <c r="R40" s="774" t="s">
        <v>17</v>
      </c>
      <c r="S40" s="775">
        <f t="shared" si="12"/>
        <v>100</v>
      </c>
      <c r="T40" s="774" t="s">
        <v>17</v>
      </c>
      <c r="U40" s="775">
        <f t="shared" si="13"/>
        <v>100</v>
      </c>
      <c r="V40" s="774" t="s">
        <v>17</v>
      </c>
      <c r="W40" s="775">
        <f t="shared" si="14"/>
        <v>100</v>
      </c>
      <c r="X40" s="1814"/>
      <c r="Y40" s="3225"/>
      <c r="Z40" s="1815" t="str">
        <f t="shared" si="15"/>
        <v>单套建筑面积</v>
      </c>
      <c r="AA40" s="1812">
        <f t="shared" si="3"/>
        <v>1</v>
      </c>
      <c r="AB40" s="1812">
        <f t="shared" si="4"/>
        <v>1</v>
      </c>
      <c r="AC40" s="1812">
        <f t="shared" si="5"/>
        <v>1</v>
      </c>
    </row>
    <row r="41" spans="1:29" s="471" customFormat="1" ht="15">
      <c r="A41" s="468"/>
      <c r="B41" s="181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2">
        <f t="shared" si="3"/>
        <v>1</v>
      </c>
      <c r="AB41" s="1812">
        <f t="shared" si="4"/>
        <v>1</v>
      </c>
      <c r="AC41" s="1812">
        <f t="shared" si="5"/>
        <v>1</v>
      </c>
    </row>
    <row r="42" spans="1:29" ht="15">
      <c r="A42" s="472"/>
      <c r="B42" s="422" t="s">
        <v>2668</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3"/>
      <c r="Q42" s="1811" t="str">
        <f t="shared" si="11"/>
        <v>内部装修</v>
      </c>
      <c r="R42" s="774" t="s">
        <v>17</v>
      </c>
      <c r="S42" s="775">
        <f t="shared" si="12"/>
        <v>100</v>
      </c>
      <c r="T42" s="774" t="s">
        <v>17</v>
      </c>
      <c r="U42" s="775">
        <f t="shared" si="13"/>
        <v>100</v>
      </c>
      <c r="V42" s="774" t="s">
        <v>17</v>
      </c>
      <c r="W42" s="775">
        <f t="shared" si="14"/>
        <v>100</v>
      </c>
      <c r="X42" s="1814"/>
      <c r="Y42" s="3225"/>
      <c r="Z42" s="1815" t="str">
        <f t="shared" si="15"/>
        <v>内部装修</v>
      </c>
      <c r="AA42" s="1812">
        <f t="shared" si="3"/>
        <v>1</v>
      </c>
      <c r="AB42" s="1812">
        <f t="shared" si="4"/>
        <v>1</v>
      </c>
      <c r="AC42" s="1812">
        <f t="shared" si="5"/>
        <v>1</v>
      </c>
    </row>
    <row r="43" spans="1:29" ht="28.8">
      <c r="A43" s="472"/>
      <c r="B43" s="422" t="s">
        <v>2576</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3"/>
      <c r="Q43" s="1811" t="str">
        <f t="shared" si="11"/>
        <v>内部装修维护情况</v>
      </c>
      <c r="R43" s="774" t="s">
        <v>17</v>
      </c>
      <c r="S43" s="775">
        <f t="shared" si="12"/>
        <v>100</v>
      </c>
      <c r="T43" s="774" t="s">
        <v>17</v>
      </c>
      <c r="U43" s="775">
        <f t="shared" si="13"/>
        <v>100</v>
      </c>
      <c r="V43" s="774" t="s">
        <v>17</v>
      </c>
      <c r="W43" s="775">
        <f t="shared" si="14"/>
        <v>100</v>
      </c>
      <c r="X43" s="1814"/>
      <c r="Y43" s="3225"/>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6">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1">
        <f t="shared" si="11"/>
        <v>111</v>
      </c>
      <c r="R45" s="774" t="s">
        <v>17</v>
      </c>
      <c r="S45" s="775">
        <f t="shared" si="12"/>
        <v>100</v>
      </c>
      <c r="T45" s="774" t="s">
        <v>17</v>
      </c>
      <c r="U45" s="775">
        <f t="shared" si="13"/>
        <v>100</v>
      </c>
      <c r="V45" s="774" t="s">
        <v>17</v>
      </c>
      <c r="W45" s="775">
        <f t="shared" si="14"/>
        <v>100</v>
      </c>
      <c r="X45" s="1814"/>
      <c r="Y45" s="3225"/>
      <c r="Z45" s="1815">
        <f t="shared" si="15"/>
        <v>111</v>
      </c>
      <c r="AA45" s="1812">
        <f t="shared" si="3"/>
        <v>1</v>
      </c>
      <c r="AB45" s="1812">
        <f t="shared" si="4"/>
        <v>1</v>
      </c>
      <c r="AC45" s="1812">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1812">
        <f t="shared" si="5"/>
        <v>1</v>
      </c>
    </row>
    <row r="47" spans="1:29" ht="14.4">
      <c r="A47" s="479" t="s">
        <v>2577</v>
      </c>
      <c r="B47" s="480"/>
      <c r="C47" s="1409" t="s">
        <v>1</v>
      </c>
      <c r="D47" s="1410"/>
      <c r="E47" s="1411"/>
      <c r="F47" s="1412"/>
      <c r="G47" s="1413"/>
      <c r="H47" s="1414"/>
      <c r="I47" s="1411"/>
      <c r="J47" s="1414"/>
      <c r="K47" s="783"/>
      <c r="L47" s="1146"/>
      <c r="M47" s="1147"/>
      <c r="N47" s="1134"/>
      <c r="O47" s="1147"/>
      <c r="P47" s="3218" t="str">
        <f>A47</f>
        <v>成交单价（元/平方米）</v>
      </c>
      <c r="Q47" s="3218"/>
      <c r="R47" s="3213">
        <f>E47</f>
        <v>0</v>
      </c>
      <c r="S47" s="3213"/>
      <c r="T47" s="3213">
        <f>G47</f>
        <v>0</v>
      </c>
      <c r="U47" s="3213"/>
      <c r="V47" s="3213">
        <f>I47</f>
        <v>0</v>
      </c>
      <c r="W47" s="3213"/>
      <c r="X47" s="759"/>
      <c r="Y47" s="781"/>
      <c r="Z47" s="759"/>
      <c r="AA47" s="759"/>
      <c r="AB47" s="759"/>
      <c r="AC47" s="759"/>
    </row>
    <row r="48" spans="1:29" ht="15" thickBot="1">
      <c r="A48" s="486" t="s">
        <v>2669</v>
      </c>
      <c r="B48" s="487"/>
      <c r="C48" s="1415" t="e">
        <f>R49</f>
        <v>#DIV/0!</v>
      </c>
      <c r="D48" s="1416"/>
      <c r="E48" s="1417" t="e">
        <f>R48</f>
        <v>#DIV/0!</v>
      </c>
      <c r="F48" s="1417"/>
      <c r="G48" s="1415" t="e">
        <f>T48</f>
        <v>#DIV/0!</v>
      </c>
      <c r="H48" s="1416"/>
      <c r="I48" s="1417" t="e">
        <f>V48</f>
        <v>#DIV/0!</v>
      </c>
      <c r="J48" s="1416"/>
      <c r="K48" s="784"/>
      <c r="L48" s="1146"/>
      <c r="M48" s="1147"/>
      <c r="N48" s="1134"/>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 thickBot="1">
      <c r="A49" s="492" t="s">
        <v>2670</v>
      </c>
      <c r="B49" s="493"/>
      <c r="C49" s="1419" t="e">
        <f>R49</f>
        <v>#DIV/0!</v>
      </c>
      <c r="D49" s="1419"/>
      <c r="E49" s="1419"/>
      <c r="F49" s="1419"/>
      <c r="G49" s="1419"/>
      <c r="H49" s="1419"/>
      <c r="I49" s="1419"/>
      <c r="J49" s="1419"/>
      <c r="K49" s="785"/>
      <c r="L49" s="1146"/>
      <c r="M49" s="1147"/>
      <c r="N49" s="1134"/>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2548</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c r="A59" s="509"/>
      <c r="B59" s="510"/>
      <c r="C59" s="1574">
        <v>100</v>
      </c>
      <c r="D59" s="512"/>
      <c r="E59" s="512"/>
      <c r="F59" s="512"/>
      <c r="G59" s="512"/>
      <c r="H59" s="512"/>
      <c r="I59" s="512"/>
      <c r="J59" s="512"/>
      <c r="K59" s="512"/>
      <c r="L59" s="512"/>
      <c r="M59" s="513"/>
      <c r="N59" s="512"/>
      <c r="O59" s="513"/>
      <c r="P59" s="2633"/>
    </row>
    <row r="60" spans="1:29" s="117" customFormat="1" ht="15" thickBot="1">
      <c r="A60" s="515" t="s">
        <v>2585</v>
      </c>
      <c r="B60" s="516"/>
      <c r="C60" s="517"/>
      <c r="D60" s="518"/>
      <c r="E60" s="518"/>
      <c r="F60" s="518"/>
      <c r="G60" s="518"/>
      <c r="H60" s="518"/>
      <c r="I60" s="518"/>
      <c r="J60" s="518"/>
      <c r="K60" s="518"/>
      <c r="L60" s="518"/>
      <c r="M60" s="519"/>
      <c r="N60" s="518"/>
      <c r="O60" s="519"/>
      <c r="P60" s="2633"/>
      <c r="Q60" s="504"/>
    </row>
    <row r="61" spans="1:29" s="117" customFormat="1" ht="14.4">
      <c r="A61" s="521" t="s">
        <v>2550</v>
      </c>
      <c r="B61" s="510"/>
      <c r="C61" s="522" t="s">
        <v>2652</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2588</v>
      </c>
      <c r="B63" s="528" t="s">
        <v>2554</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2680</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2563</v>
      </c>
      <c r="B100" s="528" t="s">
        <v>2681</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2616</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2682</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2683</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2684</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I45" sqref="I4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674" t="s">
        <v>2686</v>
      </c>
      <c r="C1" s="1621" t="s">
        <v>2530</v>
      </c>
      <c r="D1" s="1622" t="s">
        <v>27</v>
      </c>
      <c r="E1" s="1631"/>
      <c r="F1" s="2589" t="s">
        <v>3373</v>
      </c>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f>IF(C2="——",ROUND(C50*D3/10000,0),ROUND(C50*D3/10000,0)-D2)</f>
        <v>66239</v>
      </c>
      <c r="C2" s="2591" t="s">
        <v>70</v>
      </c>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23000</v>
      </c>
      <c r="C3" s="400" t="s">
        <v>2644</v>
      </c>
      <c r="D3" s="399">
        <f>IF(D1="",'数据-汇总表'!E3,SUMIF('数据-汇总表'!$C19:$C33,D1,'数据-汇总表'!$E19:$E33))</f>
        <v>28799.49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35" t="s">
        <v>2651</v>
      </c>
      <c r="Q4" s="3236"/>
      <c r="R4" s="3230" t="s">
        <v>2647</v>
      </c>
      <c r="S4" s="3231"/>
      <c r="T4" s="3230" t="s">
        <v>2648</v>
      </c>
      <c r="U4" s="3231"/>
      <c r="V4" s="3239" t="s">
        <v>2649</v>
      </c>
      <c r="W4" s="3239"/>
      <c r="X4" s="2675"/>
      <c r="Y4" s="3230" t="s">
        <v>2651</v>
      </c>
      <c r="Z4" s="3231"/>
      <c r="AA4" s="3229" t="s">
        <v>2647</v>
      </c>
      <c r="AB4" s="3229" t="s">
        <v>2648</v>
      </c>
      <c r="AC4" s="3232" t="s">
        <v>2649</v>
      </c>
    </row>
    <row r="5" spans="1:29">
      <c r="A5" s="404"/>
      <c r="B5" s="405"/>
      <c r="C5" s="3194" t="s">
        <v>2542</v>
      </c>
      <c r="D5" s="3195"/>
      <c r="E5" s="3192" t="s">
        <v>2543</v>
      </c>
      <c r="F5" s="3193"/>
      <c r="G5" s="3194" t="s">
        <v>2544</v>
      </c>
      <c r="H5" s="3195"/>
      <c r="I5" s="3194" t="s">
        <v>2545</v>
      </c>
      <c r="J5" s="3195"/>
      <c r="K5" s="610"/>
      <c r="L5" s="1133"/>
      <c r="M5" s="1134"/>
      <c r="N5" s="1134"/>
      <c r="O5" s="1134"/>
      <c r="P5" s="3237"/>
      <c r="Q5" s="3208"/>
      <c r="R5" s="3190"/>
      <c r="S5" s="3191"/>
      <c r="T5" s="3190"/>
      <c r="U5" s="3191"/>
      <c r="V5" s="3213"/>
      <c r="W5" s="3213"/>
      <c r="X5" s="1814"/>
      <c r="Y5" s="3190"/>
      <c r="Z5" s="3191"/>
      <c r="AA5" s="3184"/>
      <c r="AB5" s="3184"/>
      <c r="AC5" s="3233"/>
    </row>
    <row r="6" spans="1:29" ht="15" thickBot="1">
      <c r="A6" s="406"/>
      <c r="B6" s="407"/>
      <c r="C6" s="3196" t="s">
        <v>2546</v>
      </c>
      <c r="D6" s="3197"/>
      <c r="E6" s="3198" t="s">
        <v>2546</v>
      </c>
      <c r="F6" s="3199"/>
      <c r="G6" s="3196" t="s">
        <v>2546</v>
      </c>
      <c r="H6" s="3197"/>
      <c r="I6" s="3196" t="s">
        <v>2546</v>
      </c>
      <c r="J6" s="3197"/>
      <c r="K6" s="610" t="s">
        <v>2547</v>
      </c>
      <c r="L6" s="1133"/>
      <c r="M6" s="1134"/>
      <c r="N6" s="1134"/>
      <c r="O6" s="1134"/>
      <c r="P6" s="3238"/>
      <c r="Q6" s="3210"/>
      <c r="R6" s="3190"/>
      <c r="S6" s="3191"/>
      <c r="T6" s="3211"/>
      <c r="U6" s="3212"/>
      <c r="V6" s="3213"/>
      <c r="W6" s="3213"/>
      <c r="X6" s="1814"/>
      <c r="Y6" s="3211"/>
      <c r="Z6" s="3212"/>
      <c r="AA6" s="3185"/>
      <c r="AB6" s="3185"/>
      <c r="AC6" s="3234"/>
    </row>
    <row r="7" spans="1:29" s="117" customFormat="1" ht="15" thickBot="1">
      <c r="A7" s="408" t="s">
        <v>2548</v>
      </c>
      <c r="B7" s="409"/>
      <c r="C7" s="410">
        <f>'数据-取费表'!B2</f>
        <v>43488</v>
      </c>
      <c r="D7" s="411">
        <v>100</v>
      </c>
      <c r="E7" s="412">
        <f>C7</f>
        <v>43488</v>
      </c>
      <c r="F7" s="413">
        <f>SUMIF(59:59,YEAR(E7)&amp;"-"&amp;MONTH(E7),60:60)</f>
        <v>100</v>
      </c>
      <c r="G7" s="412">
        <f>C7</f>
        <v>43488</v>
      </c>
      <c r="H7" s="411">
        <f>SUMIF(59:59,YEAR(G7)&amp;"-"&amp;MONTH(G7),60:60)</f>
        <v>100</v>
      </c>
      <c r="I7" s="412">
        <f>C7</f>
        <v>43488</v>
      </c>
      <c r="J7" s="411">
        <f>SUMIF(59:59,YEAR(I7)&amp;"-"&amp;MONTH(I7),60:60)</f>
        <v>100</v>
      </c>
      <c r="K7" s="611"/>
      <c r="L7" s="1135"/>
      <c r="M7" s="1136"/>
      <c r="N7" s="1136"/>
      <c r="O7" s="1136"/>
      <c r="P7" s="3240" t="s">
        <v>2549</v>
      </c>
      <c r="Q7" s="3214"/>
      <c r="R7" s="770" t="s">
        <v>17</v>
      </c>
      <c r="S7" s="771">
        <f t="shared" ref="S7:S15" si="0">F7</f>
        <v>100</v>
      </c>
      <c r="T7" s="770" t="s">
        <v>17</v>
      </c>
      <c r="U7" s="771">
        <f t="shared" ref="U7:U15" si="1">H7</f>
        <v>100</v>
      </c>
      <c r="V7" s="770" t="s">
        <v>17</v>
      </c>
      <c r="W7" s="771">
        <f t="shared" ref="W7:W15" si="2">J7</f>
        <v>100</v>
      </c>
      <c r="X7" s="772"/>
      <c r="Y7" s="3186" t="s">
        <v>2549</v>
      </c>
      <c r="Z7" s="3187"/>
      <c r="AA7" s="773">
        <f>D7/F7</f>
        <v>1</v>
      </c>
      <c r="AB7" s="773">
        <f>D7/H7</f>
        <v>1</v>
      </c>
      <c r="AC7" s="2676">
        <f>D7/J7</f>
        <v>1</v>
      </c>
    </row>
    <row r="8" spans="1:29" s="117" customFormat="1" ht="15" thickBot="1">
      <c r="A8" s="408" t="s">
        <v>2550</v>
      </c>
      <c r="B8" s="409"/>
      <c r="C8" s="414" t="s">
        <v>2652</v>
      </c>
      <c r="D8" s="411">
        <v>100</v>
      </c>
      <c r="E8" s="414" t="s">
        <v>3363</v>
      </c>
      <c r="F8" s="413">
        <f>SUMIF(62:62,E8,63:63)-SUMIF(62:62,C8,63:63)+100</f>
        <v>100</v>
      </c>
      <c r="G8" s="414" t="s">
        <v>3363</v>
      </c>
      <c r="H8" s="411">
        <f>SUMIF(62:62,G8,63:63)-SUMIF(62:62,C8,63:63)+100</f>
        <v>100</v>
      </c>
      <c r="I8" s="414" t="s">
        <v>3363</v>
      </c>
      <c r="J8" s="411">
        <f>SUMIF(62:62,I8,63:63)-SUMIF(62:62,C8,63:63)+100</f>
        <v>100</v>
      </c>
      <c r="K8" s="611"/>
      <c r="L8" s="1135"/>
      <c r="M8" s="1136"/>
      <c r="N8" s="1136"/>
      <c r="O8" s="1136"/>
      <c r="P8" s="3240" t="s">
        <v>2552</v>
      </c>
      <c r="Q8" s="3187"/>
      <c r="R8" s="770" t="s">
        <v>17</v>
      </c>
      <c r="S8" s="771">
        <f t="shared" si="0"/>
        <v>100</v>
      </c>
      <c r="T8" s="770" t="s">
        <v>17</v>
      </c>
      <c r="U8" s="771">
        <f t="shared" si="1"/>
        <v>100</v>
      </c>
      <c r="V8" s="770" t="s">
        <v>17</v>
      </c>
      <c r="W8" s="771">
        <f t="shared" si="2"/>
        <v>100</v>
      </c>
      <c r="X8" s="772"/>
      <c r="Y8" s="3186" t="s">
        <v>2552</v>
      </c>
      <c r="Z8" s="3187"/>
      <c r="AA8" s="773">
        <f t="shared" ref="AA8:AA47" si="3">D8/F8</f>
        <v>1</v>
      </c>
      <c r="AB8" s="773">
        <f t="shared" ref="AB8:AB47" si="4">D8/H8</f>
        <v>1</v>
      </c>
      <c r="AC8" s="2676">
        <f t="shared" ref="AC8:AC47" si="5">D8/J8</f>
        <v>1</v>
      </c>
    </row>
    <row r="9" spans="1:29" s="117" customFormat="1" ht="14.4">
      <c r="A9" s="415" t="s">
        <v>2553</v>
      </c>
      <c r="B9" s="71" t="s">
        <v>2554</v>
      </c>
      <c r="C9" s="2959" t="s">
        <v>3372</v>
      </c>
      <c r="D9" s="135">
        <v>100</v>
      </c>
      <c r="E9" s="2960" t="s">
        <v>3372</v>
      </c>
      <c r="F9" s="135">
        <f>SUMIF(64:64,E9,65:65)-SUMIF(64:64,C9,65:65)+100</f>
        <v>100</v>
      </c>
      <c r="G9" s="2961" t="s">
        <v>3372</v>
      </c>
      <c r="H9" s="135">
        <f>SUMIF(64:64,G9,65:65)-SUMIF(64:64,C9,65:65)+100</f>
        <v>100</v>
      </c>
      <c r="I9" s="2961" t="s">
        <v>3372</v>
      </c>
      <c r="J9" s="135">
        <f>SUMIF(64:64,I9,65:65)-SUMIF(64:64,C9,65:65)+100</f>
        <v>100</v>
      </c>
      <c r="K9" s="611"/>
      <c r="L9" s="1135"/>
      <c r="M9" s="1136"/>
      <c r="N9" s="1136"/>
      <c r="O9" s="1136"/>
      <c r="P9" s="3200"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2676">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6">
        <f t="shared" si="5"/>
        <v>1</v>
      </c>
    </row>
    <row r="11" spans="1:29" ht="15">
      <c r="A11" s="428"/>
      <c r="B11" s="422" t="s">
        <v>2558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41"/>
      <c r="M11" s="1134"/>
      <c r="N11" s="1134"/>
      <c r="O11" s="1134"/>
      <c r="P11" s="3200"/>
      <c r="Q11" s="1796"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0"/>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0"/>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0"/>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6">
        <f t="shared" si="5"/>
        <v>1</v>
      </c>
    </row>
    <row r="15" spans="1:29" ht="69">
      <c r="A15" s="440" t="s">
        <v>2559</v>
      </c>
      <c r="B15" s="629" t="s">
        <v>2687</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7" t="s">
        <v>2560</v>
      </c>
      <c r="Q15" s="1811" t="str">
        <f t="shared" si="6"/>
        <v>办公集聚程度</v>
      </c>
      <c r="R15" s="774" t="s">
        <v>17</v>
      </c>
      <c r="S15" s="775">
        <f t="shared" si="0"/>
        <v>100</v>
      </c>
      <c r="T15" s="774" t="s">
        <v>17</v>
      </c>
      <c r="U15" s="775">
        <f t="shared" si="1"/>
        <v>100</v>
      </c>
      <c r="V15" s="774" t="s">
        <v>17</v>
      </c>
      <c r="W15" s="775">
        <f t="shared" si="2"/>
        <v>100</v>
      </c>
      <c r="X15" s="1814"/>
      <c r="Y15" s="3220" t="s">
        <v>2560</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2679">
        <v>1</v>
      </c>
    </row>
    <row r="17" spans="1:29" ht="82.8">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8"/>
      <c r="Q18" s="1811"/>
      <c r="R18" s="774"/>
      <c r="S18" s="775"/>
      <c r="T18" s="774"/>
      <c r="U18" s="775"/>
      <c r="V18" s="774"/>
      <c r="W18" s="775"/>
      <c r="X18" s="1814"/>
      <c r="Y18" s="3221"/>
      <c r="Z18" s="1815"/>
      <c r="AA18" s="1812">
        <v>1</v>
      </c>
      <c r="AB18" s="1812">
        <v>1</v>
      </c>
      <c r="AC18" s="2679">
        <v>1</v>
      </c>
    </row>
    <row r="19" spans="1:29" ht="41.4">
      <c r="A19" s="428"/>
      <c r="B19" s="631" t="s">
        <v>2688</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8"/>
      <c r="Q20" s="1811"/>
      <c r="R20" s="774"/>
      <c r="S20" s="775"/>
      <c r="T20" s="774"/>
      <c r="U20" s="775"/>
      <c r="V20" s="774"/>
      <c r="W20" s="775"/>
      <c r="X20" s="1814"/>
      <c r="Y20" s="3221"/>
      <c r="Z20" s="1815"/>
      <c r="AA20" s="1812">
        <v>1</v>
      </c>
      <c r="AB20" s="1812">
        <v>1</v>
      </c>
      <c r="AC20" s="2679">
        <v>1</v>
      </c>
    </row>
    <row r="21" spans="1:29" ht="27.6">
      <c r="A21" s="428"/>
      <c r="B21" s="633" t="s">
        <v>2689</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8"/>
      <c r="Q22" s="1811"/>
      <c r="R22" s="774"/>
      <c r="S22" s="775"/>
      <c r="T22" s="774"/>
      <c r="U22" s="775"/>
      <c r="V22" s="774"/>
      <c r="W22" s="775"/>
      <c r="X22" s="1814"/>
      <c r="Y22" s="3221"/>
      <c r="Z22" s="1815"/>
      <c r="AA22" s="1812">
        <v>1</v>
      </c>
      <c r="AB22" s="1812">
        <v>1</v>
      </c>
      <c r="AC22" s="2679">
        <v>1</v>
      </c>
    </row>
    <row r="23" spans="1:29" ht="55.2">
      <c r="A23" s="428"/>
      <c r="B23" s="631" t="s">
        <v>2690</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8"/>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8"/>
      <c r="Q24" s="1811"/>
      <c r="R24" s="774"/>
      <c r="S24" s="775"/>
      <c r="T24" s="774"/>
      <c r="U24" s="775"/>
      <c r="V24" s="774"/>
      <c r="W24" s="775"/>
      <c r="X24" s="1814"/>
      <c r="Y24" s="3221"/>
      <c r="Z24" s="1815"/>
      <c r="AA24" s="1812">
        <v>1</v>
      </c>
      <c r="AB24" s="1812">
        <v>1</v>
      </c>
      <c r="AC24" s="2679">
        <v>1</v>
      </c>
    </row>
    <row r="25" spans="1:29" ht="28.8">
      <c r="A25" s="404"/>
      <c r="B25" s="631" t="s">
        <v>2691</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8"/>
      <c r="Q25" s="1811" t="str">
        <f>B25</f>
        <v>毗邻道路的类型与等级</v>
      </c>
      <c r="R25" s="774" t="s">
        <v>17</v>
      </c>
      <c r="S25" s="775">
        <f>F25</f>
        <v>100</v>
      </c>
      <c r="T25" s="774" t="s">
        <v>17</v>
      </c>
      <c r="U25" s="775">
        <f>H25</f>
        <v>100</v>
      </c>
      <c r="V25" s="774" t="s">
        <v>17</v>
      </c>
      <c r="W25" s="775">
        <f>J25</f>
        <v>100</v>
      </c>
      <c r="X25" s="1814"/>
      <c r="Y25" s="3221"/>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3"/>
      <c r="M26" s="1134"/>
      <c r="N26" s="1134"/>
      <c r="O26" s="1134"/>
      <c r="P26" s="3228"/>
      <c r="Q26" s="1811"/>
      <c r="R26" s="774"/>
      <c r="S26" s="775"/>
      <c r="T26" s="774"/>
      <c r="U26" s="775"/>
      <c r="V26" s="774"/>
      <c r="W26" s="775"/>
      <c r="X26" s="1814"/>
      <c r="Y26" s="3221"/>
      <c r="Z26" s="1815"/>
      <c r="AA26" s="1812">
        <v>1</v>
      </c>
      <c r="AB26" s="1812">
        <v>1</v>
      </c>
      <c r="AC26" s="267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1" t="str">
        <f t="shared" ref="Q27:Q47" si="11">B27</f>
        <v>楼层</v>
      </c>
      <c r="R27" s="774" t="s">
        <v>17</v>
      </c>
      <c r="S27" s="775">
        <f>F27</f>
        <v>100</v>
      </c>
      <c r="T27" s="774" t="s">
        <v>17</v>
      </c>
      <c r="U27" s="775">
        <f>H27</f>
        <v>100</v>
      </c>
      <c r="V27" s="774" t="s">
        <v>17</v>
      </c>
      <c r="W27" s="775">
        <f>J27</f>
        <v>100</v>
      </c>
      <c r="X27" s="1814"/>
      <c r="Y27" s="3221"/>
      <c r="Z27" s="1815" t="str">
        <f>Q27</f>
        <v>楼层</v>
      </c>
      <c r="AA27" s="1812">
        <f t="shared" si="3"/>
        <v>1</v>
      </c>
      <c r="AB27" s="1812">
        <f t="shared" si="4"/>
        <v>1</v>
      </c>
      <c r="AC27" s="2679">
        <f t="shared" si="5"/>
        <v>1</v>
      </c>
    </row>
    <row r="28" spans="1:29" s="117" customFormat="1" ht="15">
      <c r="A28" s="431"/>
      <c r="B28" s="631" t="s">
        <v>2692</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8"/>
      <c r="Q28" s="1796" t="str">
        <f t="shared" si="11"/>
        <v>朝向</v>
      </c>
      <c r="R28" s="770" t="s">
        <v>17</v>
      </c>
      <c r="S28" s="771">
        <f>F28</f>
        <v>100</v>
      </c>
      <c r="T28" s="770" t="s">
        <v>17</v>
      </c>
      <c r="U28" s="771">
        <f>H28</f>
        <v>100</v>
      </c>
      <c r="V28" s="770" t="s">
        <v>17</v>
      </c>
      <c r="W28" s="771">
        <f>J28</f>
        <v>100</v>
      </c>
      <c r="X28" s="772"/>
      <c r="Y28" s="3221"/>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8"/>
      <c r="Q29" s="1811">
        <f t="shared" si="11"/>
        <v>111</v>
      </c>
      <c r="R29" s="774" t="s">
        <v>17</v>
      </c>
      <c r="S29" s="775">
        <f t="shared" ref="S29:S47" si="12">F29</f>
        <v>100</v>
      </c>
      <c r="T29" s="774" t="s">
        <v>17</v>
      </c>
      <c r="U29" s="775">
        <f t="shared" ref="U29:U47" si="13">H29</f>
        <v>100</v>
      </c>
      <c r="V29" s="774" t="s">
        <v>17</v>
      </c>
      <c r="W29" s="775">
        <f t="shared" ref="W29:W47" si="14">J29</f>
        <v>100</v>
      </c>
      <c r="X29" s="1814"/>
      <c r="Y29" s="3221"/>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8"/>
      <c r="Q32" s="1811">
        <f t="shared" si="11"/>
        <v>111</v>
      </c>
      <c r="R32" s="774" t="s">
        <v>17</v>
      </c>
      <c r="S32" s="775">
        <f t="shared" si="12"/>
        <v>100</v>
      </c>
      <c r="T32" s="774" t="s">
        <v>17</v>
      </c>
      <c r="U32" s="775">
        <f t="shared" si="13"/>
        <v>100</v>
      </c>
      <c r="V32" s="774" t="s">
        <v>17</v>
      </c>
      <c r="W32" s="775">
        <f t="shared" si="14"/>
        <v>100</v>
      </c>
      <c r="X32" s="1814"/>
      <c r="Y32" s="3221"/>
      <c r="Z32" s="1815">
        <f t="shared" si="15"/>
        <v>111</v>
      </c>
      <c r="AA32" s="1812">
        <f t="shared" si="3"/>
        <v>1</v>
      </c>
      <c r="AB32" s="1812">
        <f t="shared" si="4"/>
        <v>1</v>
      </c>
      <c r="AC32" s="2679">
        <f t="shared" si="5"/>
        <v>1</v>
      </c>
    </row>
    <row r="33" spans="1:29" ht="15">
      <c r="A33" s="440" t="s">
        <v>2563</v>
      </c>
      <c r="B33" s="71" t="s">
        <v>2693</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2" t="s">
        <v>2565</v>
      </c>
      <c r="Q33" s="1811" t="str">
        <f t="shared" si="11"/>
        <v>建筑类型</v>
      </c>
      <c r="R33" s="774" t="s">
        <v>17</v>
      </c>
      <c r="S33" s="775">
        <f t="shared" si="12"/>
        <v>100</v>
      </c>
      <c r="T33" s="774" t="s">
        <v>17</v>
      </c>
      <c r="U33" s="775">
        <f t="shared" si="13"/>
        <v>100</v>
      </c>
      <c r="V33" s="774" t="s">
        <v>17</v>
      </c>
      <c r="W33" s="775">
        <f t="shared" si="14"/>
        <v>100</v>
      </c>
      <c r="X33" s="1814"/>
      <c r="Y33" s="3225" t="s">
        <v>2565</v>
      </c>
      <c r="Z33" s="1815" t="str">
        <f t="shared" si="15"/>
        <v>建筑类型</v>
      </c>
      <c r="AA33" s="1812">
        <f t="shared" si="3"/>
        <v>1</v>
      </c>
      <c r="AB33" s="1812">
        <f t="shared" si="4"/>
        <v>1</v>
      </c>
      <c r="AC33" s="2679">
        <f t="shared" si="5"/>
        <v>1</v>
      </c>
    </row>
    <row r="34" spans="1:29" s="471" customFormat="1" ht="15">
      <c r="A34" s="468"/>
      <c r="B34" s="422" t="s">
        <v>2566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3"/>
      <c r="Q34" s="776" t="str">
        <f t="shared" si="11"/>
        <v>项目建筑规模</v>
      </c>
      <c r="R34" s="777" t="s">
        <v>17</v>
      </c>
      <c r="S34" s="778">
        <f t="shared" si="12"/>
        <v>100</v>
      </c>
      <c r="T34" s="777" t="s">
        <v>17</v>
      </c>
      <c r="U34" s="778">
        <f t="shared" si="13"/>
        <v>100</v>
      </c>
      <c r="V34" s="777" t="s">
        <v>17</v>
      </c>
      <c r="W34" s="778">
        <f t="shared" si="14"/>
        <v>100</v>
      </c>
      <c r="X34" s="779"/>
      <c r="Y34" s="3225"/>
      <c r="Z34" s="780" t="str">
        <f t="shared" si="15"/>
        <v>项目建筑规模</v>
      </c>
      <c r="AA34" s="1812">
        <f t="shared" si="3"/>
        <v>1</v>
      </c>
      <c r="AB34" s="1812">
        <f t="shared" si="4"/>
        <v>1</v>
      </c>
      <c r="AC34" s="2679">
        <f t="shared" si="5"/>
        <v>1</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3"/>
      <c r="Q35" s="1811" t="str">
        <f t="shared" si="11"/>
        <v>建筑结构</v>
      </c>
      <c r="R35" s="774" t="s">
        <v>17</v>
      </c>
      <c r="S35" s="775">
        <f t="shared" si="12"/>
        <v>100</v>
      </c>
      <c r="T35" s="774" t="s">
        <v>17</v>
      </c>
      <c r="U35" s="775">
        <f t="shared" si="13"/>
        <v>100</v>
      </c>
      <c r="V35" s="774" t="s">
        <v>17</v>
      </c>
      <c r="W35" s="775">
        <f t="shared" si="14"/>
        <v>100</v>
      </c>
      <c r="X35" s="1814"/>
      <c r="Y35" s="3225"/>
      <c r="Z35" s="1815" t="str">
        <f t="shared" si="15"/>
        <v>建筑结构</v>
      </c>
      <c r="AA35" s="1812">
        <f t="shared" si="3"/>
        <v>1</v>
      </c>
      <c r="AB35" s="1812">
        <f t="shared" si="4"/>
        <v>1</v>
      </c>
      <c r="AC35" s="267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3"/>
      <c r="Q36" s="1811" t="str">
        <f t="shared" si="11"/>
        <v>公共部分装修</v>
      </c>
      <c r="R36" s="774" t="s">
        <v>17</v>
      </c>
      <c r="S36" s="775">
        <f t="shared" si="12"/>
        <v>100</v>
      </c>
      <c r="T36" s="774" t="s">
        <v>17</v>
      </c>
      <c r="U36" s="775">
        <f t="shared" si="13"/>
        <v>100</v>
      </c>
      <c r="V36" s="774" t="s">
        <v>17</v>
      </c>
      <c r="W36" s="775">
        <f t="shared" si="14"/>
        <v>100</v>
      </c>
      <c r="X36" s="1814"/>
      <c r="Y36" s="3225"/>
      <c r="Z36" s="1815" t="str">
        <f t="shared" si="15"/>
        <v>公共部分装修</v>
      </c>
      <c r="AA36" s="1812">
        <f t="shared" si="3"/>
        <v>1</v>
      </c>
      <c r="AB36" s="1812">
        <f t="shared" si="4"/>
        <v>1</v>
      </c>
      <c r="AC36" s="2679">
        <f t="shared" si="5"/>
        <v>1</v>
      </c>
    </row>
    <row r="37" spans="1:29" ht="15">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23"/>
      <c r="Q37" s="1811" t="str">
        <f t="shared" si="11"/>
        <v>成新度</v>
      </c>
      <c r="R37" s="774" t="s">
        <v>17</v>
      </c>
      <c r="S37" s="775">
        <f t="shared" si="12"/>
        <v>100</v>
      </c>
      <c r="T37" s="774" t="s">
        <v>17</v>
      </c>
      <c r="U37" s="775">
        <f t="shared" si="13"/>
        <v>100</v>
      </c>
      <c r="V37" s="774" t="s">
        <v>17</v>
      </c>
      <c r="W37" s="775">
        <f t="shared" si="14"/>
        <v>100</v>
      </c>
      <c r="X37" s="1814"/>
      <c r="Y37" s="3225"/>
      <c r="Z37" s="1815" t="str">
        <f t="shared" si="15"/>
        <v>成新度</v>
      </c>
      <c r="AA37" s="1812">
        <f t="shared" si="3"/>
        <v>1</v>
      </c>
      <c r="AB37" s="1812">
        <f t="shared" si="4"/>
        <v>1</v>
      </c>
      <c r="AC37" s="2679">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3"/>
      <c r="Q38" s="1796"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3" t="s">
        <v>2565</v>
      </c>
      <c r="Q39" s="1811" t="str">
        <f t="shared" si="11"/>
        <v>物业管理</v>
      </c>
      <c r="R39" s="774" t="s">
        <v>17</v>
      </c>
      <c r="S39" s="775">
        <f t="shared" si="12"/>
        <v>100</v>
      </c>
      <c r="T39" s="774" t="s">
        <v>17</v>
      </c>
      <c r="U39" s="775">
        <f t="shared" si="13"/>
        <v>100</v>
      </c>
      <c r="V39" s="774" t="s">
        <v>17</v>
      </c>
      <c r="W39" s="775">
        <f t="shared" si="14"/>
        <v>100</v>
      </c>
      <c r="X39" s="1814"/>
      <c r="Y39" s="3225" t="s">
        <v>2565</v>
      </c>
      <c r="Z39" s="1815" t="str">
        <f t="shared" si="15"/>
        <v>物业管理</v>
      </c>
      <c r="AA39" s="1812">
        <f t="shared" si="3"/>
        <v>1</v>
      </c>
      <c r="AB39" s="1812">
        <f t="shared" si="4"/>
        <v>1</v>
      </c>
      <c r="AC39" s="267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3"/>
      <c r="Q40" s="1811" t="str">
        <f t="shared" si="11"/>
        <v>市政基础设施</v>
      </c>
      <c r="R40" s="774" t="s">
        <v>17</v>
      </c>
      <c r="S40" s="775">
        <f t="shared" si="12"/>
        <v>100</v>
      </c>
      <c r="T40" s="774" t="s">
        <v>17</v>
      </c>
      <c r="U40" s="775">
        <f t="shared" si="13"/>
        <v>100</v>
      </c>
      <c r="V40" s="774" t="s">
        <v>17</v>
      </c>
      <c r="W40" s="775">
        <f t="shared" si="14"/>
        <v>100</v>
      </c>
      <c r="X40" s="1814"/>
      <c r="Y40" s="3225"/>
      <c r="Z40" s="1815" t="str">
        <f t="shared" si="15"/>
        <v>市政基础设施</v>
      </c>
      <c r="AA40" s="1812">
        <f t="shared" si="3"/>
        <v>1</v>
      </c>
      <c r="AB40" s="1812">
        <f t="shared" si="4"/>
        <v>1</v>
      </c>
      <c r="AC40" s="267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1" t="str">
        <f t="shared" si="11"/>
        <v>层高</v>
      </c>
      <c r="R41" s="774" t="s">
        <v>17</v>
      </c>
      <c r="S41" s="775">
        <f t="shared" si="12"/>
        <v>100</v>
      </c>
      <c r="T41" s="774" t="s">
        <v>17</v>
      </c>
      <c r="U41" s="775">
        <f t="shared" si="13"/>
        <v>100</v>
      </c>
      <c r="V41" s="774" t="s">
        <v>17</v>
      </c>
      <c r="W41" s="775">
        <f t="shared" si="14"/>
        <v>100</v>
      </c>
      <c r="X41" s="1814"/>
      <c r="Y41" s="3225"/>
      <c r="Z41" s="1815" t="str">
        <f t="shared" si="15"/>
        <v>层高</v>
      </c>
      <c r="AA41" s="1812">
        <f t="shared" si="3"/>
        <v>1</v>
      </c>
      <c r="AB41" s="1812">
        <f t="shared" si="4"/>
        <v>1</v>
      </c>
      <c r="AC41" s="2679">
        <f t="shared" si="5"/>
        <v>1</v>
      </c>
    </row>
    <row r="42" spans="1:29" s="471" customFormat="1" ht="15">
      <c r="A42" s="468"/>
      <c r="B42" s="181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2">
        <f t="shared" si="3"/>
        <v>1</v>
      </c>
      <c r="AB42" s="1812">
        <f t="shared" si="4"/>
        <v>1</v>
      </c>
      <c r="AC42" s="267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3"/>
      <c r="Q43" s="1811" t="str">
        <f t="shared" si="11"/>
        <v>内部装修</v>
      </c>
      <c r="R43" s="774" t="s">
        <v>17</v>
      </c>
      <c r="S43" s="775">
        <f t="shared" si="12"/>
        <v>100</v>
      </c>
      <c r="T43" s="774" t="s">
        <v>17</v>
      </c>
      <c r="U43" s="775">
        <f t="shared" si="13"/>
        <v>100</v>
      </c>
      <c r="V43" s="774" t="s">
        <v>17</v>
      </c>
      <c r="W43" s="775">
        <f t="shared" si="14"/>
        <v>100</v>
      </c>
      <c r="X43" s="1814"/>
      <c r="Y43" s="3225"/>
      <c r="Z43" s="1815" t="str">
        <f t="shared" si="15"/>
        <v>内部装修</v>
      </c>
      <c r="AA43" s="1812">
        <f t="shared" si="3"/>
        <v>1</v>
      </c>
      <c r="AB43" s="1812">
        <f t="shared" si="4"/>
        <v>1</v>
      </c>
      <c r="AC43" s="2679">
        <f t="shared" si="5"/>
        <v>1</v>
      </c>
    </row>
    <row r="44" spans="1:29" ht="28.8">
      <c r="A44" s="472"/>
      <c r="B44" s="422" t="s">
        <v>2576</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3"/>
      <c r="Q44" s="1811" t="str">
        <f t="shared" si="11"/>
        <v>内部装修维护情况</v>
      </c>
      <c r="R44" s="774" t="s">
        <v>17</v>
      </c>
      <c r="S44" s="775">
        <f t="shared" si="12"/>
        <v>100</v>
      </c>
      <c r="T44" s="774" t="s">
        <v>17</v>
      </c>
      <c r="U44" s="775">
        <f t="shared" si="13"/>
        <v>100</v>
      </c>
      <c r="V44" s="774" t="s">
        <v>17</v>
      </c>
      <c r="W44" s="775">
        <f t="shared" si="14"/>
        <v>100</v>
      </c>
      <c r="X44" s="1814"/>
      <c r="Y44" s="3225"/>
      <c r="Z44" s="1815" t="str">
        <f t="shared" si="15"/>
        <v>内部装修维护情况</v>
      </c>
      <c r="AA44" s="1812">
        <f t="shared" si="3"/>
        <v>1</v>
      </c>
      <c r="AB44" s="1812">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6">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1">
        <f t="shared" si="11"/>
        <v>111</v>
      </c>
      <c r="R46" s="774" t="s">
        <v>17</v>
      </c>
      <c r="S46" s="775">
        <f t="shared" si="12"/>
        <v>100</v>
      </c>
      <c r="T46" s="774" t="s">
        <v>17</v>
      </c>
      <c r="U46" s="775">
        <f t="shared" si="13"/>
        <v>100</v>
      </c>
      <c r="V46" s="774" t="s">
        <v>17</v>
      </c>
      <c r="W46" s="775">
        <f t="shared" si="14"/>
        <v>100</v>
      </c>
      <c r="X46" s="1814"/>
      <c r="Y46" s="3225"/>
      <c r="Z46" s="1815">
        <f t="shared" si="15"/>
        <v>111</v>
      </c>
      <c r="AA46" s="1812">
        <f t="shared" si="3"/>
        <v>1</v>
      </c>
      <c r="AB46" s="1812">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1">
        <f t="shared" si="11"/>
        <v>111</v>
      </c>
      <c r="R47" s="774" t="s">
        <v>17</v>
      </c>
      <c r="S47" s="775">
        <f t="shared" si="12"/>
        <v>100</v>
      </c>
      <c r="T47" s="774" t="s">
        <v>17</v>
      </c>
      <c r="U47" s="775">
        <f t="shared" si="13"/>
        <v>100</v>
      </c>
      <c r="V47" s="774" t="s">
        <v>17</v>
      </c>
      <c r="W47" s="775">
        <f t="shared" si="14"/>
        <v>100</v>
      </c>
      <c r="X47" s="1814"/>
      <c r="Y47" s="3226"/>
      <c r="Z47" s="1815">
        <f t="shared" si="15"/>
        <v>111</v>
      </c>
      <c r="AA47" s="1812">
        <f t="shared" si="3"/>
        <v>1</v>
      </c>
      <c r="AB47" s="1812">
        <f t="shared" si="4"/>
        <v>1</v>
      </c>
      <c r="AC47" s="2679">
        <f t="shared" si="5"/>
        <v>1</v>
      </c>
    </row>
    <row r="48" spans="1:29" ht="14.4">
      <c r="A48" s="479" t="s">
        <v>2577</v>
      </c>
      <c r="B48" s="480"/>
      <c r="C48" s="1409" t="s">
        <v>1</v>
      </c>
      <c r="D48" s="1410"/>
      <c r="E48" s="1411">
        <v>23000</v>
      </c>
      <c r="F48" s="1412"/>
      <c r="G48" s="1413">
        <v>23000</v>
      </c>
      <c r="H48" s="1414"/>
      <c r="I48" s="1411">
        <v>23000</v>
      </c>
      <c r="J48" s="485"/>
      <c r="K48" s="783"/>
      <c r="L48" s="1146"/>
      <c r="M48" s="1134"/>
      <c r="N48" s="1134"/>
      <c r="O48" s="1134"/>
      <c r="P48" s="3200" t="str">
        <f>A48</f>
        <v>成交单价（元/平方米）</v>
      </c>
      <c r="Q48" s="3218"/>
      <c r="R48" s="3219">
        <f>E48</f>
        <v>23000</v>
      </c>
      <c r="S48" s="3219"/>
      <c r="T48" s="3219">
        <f>G48</f>
        <v>23000</v>
      </c>
      <c r="U48" s="3219"/>
      <c r="V48" s="3219">
        <f>I48</f>
        <v>23000</v>
      </c>
      <c r="W48" s="3219"/>
      <c r="X48" s="446"/>
      <c r="Y48" s="781"/>
      <c r="Z48" s="446"/>
      <c r="AA48" s="446"/>
      <c r="AB48" s="446"/>
      <c r="AC48" s="630"/>
    </row>
    <row r="49" spans="1:29" ht="15" thickBot="1">
      <c r="A49" s="486" t="s">
        <v>2669</v>
      </c>
      <c r="B49" s="487"/>
      <c r="C49" s="1415">
        <f>R50</f>
        <v>23000</v>
      </c>
      <c r="D49" s="1416"/>
      <c r="E49" s="1417">
        <f>R49</f>
        <v>23000</v>
      </c>
      <c r="F49" s="1417"/>
      <c r="G49" s="1415">
        <f>T49</f>
        <v>23000</v>
      </c>
      <c r="H49" s="1416"/>
      <c r="I49" s="1417">
        <f>V49</f>
        <v>23000</v>
      </c>
      <c r="J49" s="489"/>
      <c r="K49" s="784"/>
      <c r="L49" s="1146"/>
      <c r="M49" s="1134"/>
      <c r="N49" s="1134"/>
      <c r="O49" s="1134"/>
      <c r="P49" s="3200" t="str">
        <f>A49</f>
        <v>比较价值（元/平方米）</v>
      </c>
      <c r="Q49" s="3218"/>
      <c r="R49" s="3219">
        <f>IF(F1="售价",ROUND(PRODUCT(R48,AA7:AA47),0),ROUND(PRODUCT(R48,AA7:AA47),1))</f>
        <v>23000</v>
      </c>
      <c r="S49" s="3219"/>
      <c r="T49" s="3219">
        <f>IF(F1="售价",ROUND(PRODUCT(T48,AB7:AB47),0),ROUND(PRODUCT(T48,AB7:AB47),1))</f>
        <v>23000</v>
      </c>
      <c r="U49" s="3219"/>
      <c r="V49" s="3219">
        <f>IF(F1="售价",ROUND(PRODUCT(V48,AC7:AC47),0),ROUND(PRODUCT(V48,AC7:AC47),1))</f>
        <v>23000</v>
      </c>
      <c r="W49" s="3219"/>
      <c r="X49" s="446"/>
      <c r="Y49" s="446"/>
      <c r="Z49" s="446"/>
      <c r="AA49" s="446"/>
      <c r="AB49" s="446"/>
      <c r="AC49" s="630"/>
    </row>
    <row r="50" spans="1:29" ht="15" thickBot="1">
      <c r="A50" s="492" t="s">
        <v>2670</v>
      </c>
      <c r="B50" s="493"/>
      <c r="C50" s="1419">
        <f>R50</f>
        <v>23000</v>
      </c>
      <c r="D50" s="1419"/>
      <c r="E50" s="1419"/>
      <c r="F50" s="1419"/>
      <c r="G50" s="1419"/>
      <c r="H50" s="1419"/>
      <c r="I50" s="1419"/>
      <c r="J50" s="494"/>
      <c r="K50" s="785"/>
      <c r="L50" s="1146"/>
      <c r="M50" s="1134"/>
      <c r="N50" s="1134"/>
      <c r="O50" s="1134"/>
      <c r="P50" s="3241" t="str">
        <f>A50</f>
        <v>估价对象XX用房的比较价值（楼面单价，元/平方米）</v>
      </c>
      <c r="Q50" s="3242"/>
      <c r="R50" s="3243">
        <f>IF(F1="售价",ROUND(AVERAGE(R49:V49),0),ROUND(AVERAGE(R49:V49),1))</f>
        <v>23000</v>
      </c>
      <c r="S50" s="3243"/>
      <c r="T50" s="3243"/>
      <c r="U50" s="3243"/>
      <c r="V50" s="3243"/>
      <c r="W50" s="324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2672</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2673</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6"/>
      <c r="Q58" s="504"/>
    </row>
    <row r="59" spans="1:29" s="508" customFormat="1" ht="14.4">
      <c r="A59" s="505" t="s">
        <v>2548</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c r="A60" s="509"/>
      <c r="B60" s="510"/>
      <c r="C60" s="1574">
        <v>100</v>
      </c>
      <c r="D60" s="512"/>
      <c r="E60" s="512"/>
      <c r="F60" s="512"/>
      <c r="G60" s="512"/>
      <c r="H60" s="512"/>
      <c r="I60" s="512"/>
      <c r="J60" s="512"/>
      <c r="K60" s="512"/>
      <c r="L60" s="512"/>
      <c r="M60" s="513"/>
      <c r="N60" s="512"/>
      <c r="O60" s="513"/>
      <c r="P60" s="2687"/>
    </row>
    <row r="61" spans="1:29" s="117" customFormat="1" ht="15" thickBot="1">
      <c r="A61" s="515" t="s">
        <v>2585</v>
      </c>
      <c r="B61" s="516"/>
      <c r="C61" s="517"/>
      <c r="D61" s="518"/>
      <c r="E61" s="518"/>
      <c r="F61" s="518"/>
      <c r="G61" s="518"/>
      <c r="H61" s="518"/>
      <c r="I61" s="518"/>
      <c r="J61" s="518"/>
      <c r="K61" s="518"/>
      <c r="L61" s="518"/>
      <c r="M61" s="519"/>
      <c r="N61" s="518"/>
      <c r="O61" s="519"/>
      <c r="P61" s="2687"/>
      <c r="Q61" s="504"/>
    </row>
    <row r="62" spans="1:29" s="117" customFormat="1" ht="14.4">
      <c r="A62" s="521" t="s">
        <v>2550</v>
      </c>
      <c r="B62" s="510"/>
      <c r="C62" s="522" t="s">
        <v>2652</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2588</v>
      </c>
      <c r="B64" s="528" t="s">
        <v>2554</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v>5</v>
      </c>
      <c r="I69" s="549"/>
      <c r="J69" s="549"/>
      <c r="K69" s="550"/>
      <c r="L69" s="551"/>
      <c r="M69" s="552"/>
      <c r="N69" s="1155"/>
      <c r="O69" s="1155"/>
      <c r="P69" s="268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2699</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2563</v>
      </c>
      <c r="B101" s="528" t="s">
        <v>2612</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2613</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c r="H104" s="595"/>
      <c r="I104" s="595"/>
      <c r="J104" s="596"/>
      <c r="K104" s="596"/>
      <c r="L104" s="597"/>
      <c r="M104" s="598"/>
      <c r="N104" s="1157"/>
      <c r="O104" s="1157"/>
      <c r="P104" s="2690"/>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6"/>
      <c r="O105" s="1156"/>
      <c r="P105" s="2690"/>
      <c r="Q105" s="559"/>
    </row>
    <row r="106" spans="1:17" ht="15" thickTop="1">
      <c r="A106" s="599"/>
      <c r="B106" s="538" t="s">
        <v>2614</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2616</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2617</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2618</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2701</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2620</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1607</v>
      </c>
    </row>
    <row r="2" spans="1:1">
      <c r="A2" s="1947"/>
    </row>
    <row r="3" spans="1:1" ht="17.399999999999999">
      <c r="A3" s="1948" t="str">
        <f>项目基本情况!B5&amp;"："</f>
        <v>：</v>
      </c>
    </row>
    <row r="4" spans="1:1" ht="34.799999999999997">
      <c r="A4" s="1949" t="str">
        <f>"受贵公司委托，我公司对"&amp;项目基本情况!S1&amp;"进行了预评估。"</f>
        <v>受贵公司委托，我公司对 海南省海口市出让国有建设用地使用权及在建建筑物房地产抵押价值进行了预评估。</v>
      </c>
    </row>
    <row r="5" spans="1:1" ht="17.399999999999999">
      <c r="A5" s="1950" t="s">
        <v>1608</v>
      </c>
    </row>
    <row r="6" spans="1:1" ht="17.399999999999999">
      <c r="A6" s="1951" t="s">
        <v>1609</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 海南省海口市出让国有建设用地使用权及在建建筑物房地产，为所有。根据《国有土地使用证》[]，估价对象（分摊）出让国有建设用地使用权面积为3794.16平方米，建筑面积为138723.22平方米。</v>
      </c>
    </row>
    <row r="8" spans="1:1" ht="54.6">
      <c r="A8" s="1952" t="s">
        <v>1610</v>
      </c>
    </row>
    <row r="9" spans="1:1" ht="17.399999999999999">
      <c r="A9" s="1951" t="s">
        <v>1611</v>
      </c>
    </row>
    <row r="10" spans="1:1" ht="69.59999999999999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1" spans="1:1" ht="72">
      <c r="A11" s="1952" t="s">
        <v>1612</v>
      </c>
    </row>
    <row r="12" spans="1:1" ht="17.399999999999999">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7.399999999999999">
      <c r="A14" s="1954" t="s">
        <v>1614</v>
      </c>
    </row>
    <row r="15" spans="1:1" ht="17.399999999999999">
      <c r="A15" s="1955" t="str">
        <f>TEXT(项目基本情况!D3,"yyyy年m月d日;;")&amp;IF(项目基本情况!D3=项目基本情况!B3,"（评估专业人员实地查勘之日）","")</f>
        <v>2019年1月23日（评估专业人员实地查勘之日）</v>
      </c>
    </row>
    <row r="16" spans="1:1" ht="17.399999999999999">
      <c r="A16" s="1954" t="s">
        <v>1615</v>
      </c>
    </row>
    <row r="17" spans="1:1" ht="69.599999999999994">
      <c r="A17" s="1949" t="s">
        <v>1616</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9" t="str">
        <f>IF(项目基本情况!B9="房地产市场价值","——",IF(项目基本情况!E8="房地产抵押价值",定义!C54,IF(项目基本情况!E8="已注销",定义!C55,定义!C56)))</f>
        <v>——</v>
      </c>
    </row>
    <row r="21" spans="1:1" ht="17.399999999999999">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9" t="str">
        <f>IF(项目基本情况!B9="房地产市场价值","——",IF(项目基本情况!E9="——","",定义!C57))</f>
        <v>——</v>
      </c>
    </row>
    <row r="23" spans="1:1" ht="17.399999999999999">
      <c r="A23" s="1954" t="s">
        <v>1605</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674" t="s">
        <v>2702</v>
      </c>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138723.22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184" t="s">
        <v>2648</v>
      </c>
      <c r="AC4" s="3183" t="s">
        <v>2649</v>
      </c>
    </row>
    <row r="5" spans="1:29">
      <c r="A5" s="404"/>
      <c r="B5" s="405"/>
      <c r="C5" s="3194" t="s">
        <v>2542</v>
      </c>
      <c r="D5" s="3195"/>
      <c r="E5" s="3192" t="s">
        <v>2543</v>
      </c>
      <c r="F5" s="3193"/>
      <c r="G5" s="3194" t="s">
        <v>2544</v>
      </c>
      <c r="H5" s="3195"/>
      <c r="I5" s="3194" t="s">
        <v>2545</v>
      </c>
      <c r="J5" s="3195"/>
      <c r="K5" s="610"/>
      <c r="L5" s="1133"/>
      <c r="M5" s="1134"/>
      <c r="N5" s="1134"/>
      <c r="O5" s="1134"/>
      <c r="P5" s="3207"/>
      <c r="Q5" s="3208"/>
      <c r="R5" s="3190"/>
      <c r="S5" s="3191"/>
      <c r="T5" s="3190"/>
      <c r="U5" s="3191"/>
      <c r="V5" s="3213"/>
      <c r="W5" s="3213"/>
      <c r="X5" s="1814"/>
      <c r="Y5" s="3190"/>
      <c r="Z5" s="3191"/>
      <c r="AA5" s="3184"/>
      <c r="AB5" s="3184"/>
      <c r="AC5" s="3184"/>
    </row>
    <row r="6" spans="1:29" ht="15" thickBot="1">
      <c r="A6" s="406"/>
      <c r="B6" s="407"/>
      <c r="C6" s="3196" t="s">
        <v>2546</v>
      </c>
      <c r="D6" s="3197"/>
      <c r="E6" s="3198" t="s">
        <v>2546</v>
      </c>
      <c r="F6" s="3199"/>
      <c r="G6" s="3196" t="s">
        <v>2546</v>
      </c>
      <c r="H6" s="3197"/>
      <c r="I6" s="3196" t="s">
        <v>2546</v>
      </c>
      <c r="J6" s="3197"/>
      <c r="K6" s="610" t="s">
        <v>2547</v>
      </c>
      <c r="L6" s="1133"/>
      <c r="M6" s="1134"/>
      <c r="N6" s="1134"/>
      <c r="O6" s="1134"/>
      <c r="P6" s="3209"/>
      <c r="Q6" s="3210"/>
      <c r="R6" s="3190"/>
      <c r="S6" s="3191"/>
      <c r="T6" s="3211"/>
      <c r="U6" s="3212"/>
      <c r="V6" s="3213"/>
      <c r="W6" s="3213"/>
      <c r="X6" s="1814"/>
      <c r="Y6" s="3211"/>
      <c r="Z6" s="3212"/>
      <c r="AA6" s="3185"/>
      <c r="AB6" s="3185"/>
      <c r="AC6" s="3185"/>
    </row>
    <row r="7" spans="1:29" s="117" customFormat="1" ht="15" thickBot="1">
      <c r="A7" s="408" t="s">
        <v>2548</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6" t="s">
        <v>2549</v>
      </c>
      <c r="Q7" s="3214"/>
      <c r="R7" s="770" t="s">
        <v>17</v>
      </c>
      <c r="S7" s="771">
        <f t="shared" ref="S7:S15" si="0">F7</f>
        <v>0</v>
      </c>
      <c r="T7" s="770" t="s">
        <v>17</v>
      </c>
      <c r="U7" s="771">
        <f t="shared" ref="U7:U15" si="1">H7</f>
        <v>0</v>
      </c>
      <c r="V7" s="770" t="s">
        <v>17</v>
      </c>
      <c r="W7" s="771">
        <f t="shared" ref="W7:W15" si="2">J7</f>
        <v>0</v>
      </c>
      <c r="X7" s="772"/>
      <c r="Y7" s="3186" t="s">
        <v>2549</v>
      </c>
      <c r="Z7" s="3187"/>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6" t="s">
        <v>2552</v>
      </c>
      <c r="Q8" s="3187"/>
      <c r="R8" s="770" t="s">
        <v>17</v>
      </c>
      <c r="S8" s="771">
        <f t="shared" si="0"/>
        <v>0</v>
      </c>
      <c r="T8" s="770" t="s">
        <v>17</v>
      </c>
      <c r="U8" s="771">
        <f t="shared" si="1"/>
        <v>0</v>
      </c>
      <c r="V8" s="770" t="s">
        <v>17</v>
      </c>
      <c r="W8" s="771">
        <f t="shared" si="2"/>
        <v>0</v>
      </c>
      <c r="X8" s="772"/>
      <c r="Y8" s="3186" t="s">
        <v>2552</v>
      </c>
      <c r="Z8" s="3187"/>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2559</v>
      </c>
      <c r="B15" s="69" t="s">
        <v>2703</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2560</v>
      </c>
      <c r="Q15" s="1811" t="str">
        <f t="shared" si="6"/>
        <v>产业集聚程度</v>
      </c>
      <c r="R15" s="774" t="s">
        <v>17</v>
      </c>
      <c r="S15" s="775">
        <f t="shared" si="0"/>
        <v>100</v>
      </c>
      <c r="T15" s="774" t="s">
        <v>17</v>
      </c>
      <c r="U15" s="775">
        <f t="shared" si="1"/>
        <v>100</v>
      </c>
      <c r="V15" s="774" t="s">
        <v>17</v>
      </c>
      <c r="W15" s="775">
        <f t="shared" si="2"/>
        <v>100</v>
      </c>
      <c r="X15" s="1814"/>
      <c r="Y15" s="3220" t="s">
        <v>2560</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1"/>
      <c r="Q16" s="1811"/>
      <c r="R16" s="774"/>
      <c r="S16" s="775"/>
      <c r="T16" s="774"/>
      <c r="U16" s="775"/>
      <c r="V16" s="774"/>
      <c r="W16" s="775"/>
      <c r="X16" s="1814"/>
      <c r="Y16" s="3221"/>
      <c r="Z16" s="1815"/>
      <c r="AA16" s="1812">
        <v>1</v>
      </c>
      <c r="AB16" s="1812">
        <v>1</v>
      </c>
      <c r="AC16" s="1812">
        <v>1</v>
      </c>
    </row>
    <row r="17" spans="1:29" ht="96.6">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42"/>
      <c r="P18" s="3221"/>
      <c r="Q18" s="1811"/>
      <c r="R18" s="774"/>
      <c r="S18" s="775"/>
      <c r="T18" s="774"/>
      <c r="U18" s="775"/>
      <c r="V18" s="774"/>
      <c r="W18" s="775"/>
      <c r="X18" s="1814"/>
      <c r="Y18" s="3221"/>
      <c r="Z18" s="1815"/>
      <c r="AA18" s="1812">
        <v>1</v>
      </c>
      <c r="AB18" s="1812">
        <v>1</v>
      </c>
      <c r="AC18" s="1812">
        <v>1</v>
      </c>
    </row>
    <row r="19" spans="1:29" ht="41.4">
      <c r="A19" s="428"/>
      <c r="B19" s="451" t="s">
        <v>2688</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42"/>
      <c r="P20" s="3221"/>
      <c r="Q20" s="1811"/>
      <c r="R20" s="774"/>
      <c r="S20" s="775"/>
      <c r="T20" s="774"/>
      <c r="U20" s="775"/>
      <c r="V20" s="774"/>
      <c r="W20" s="775"/>
      <c r="X20" s="1814"/>
      <c r="Y20" s="3221"/>
      <c r="Z20" s="1815"/>
      <c r="AA20" s="1812">
        <v>1</v>
      </c>
      <c r="AB20" s="1812">
        <v>1</v>
      </c>
      <c r="AC20" s="1812">
        <v>1</v>
      </c>
    </row>
    <row r="21" spans="1:29" ht="41.4">
      <c r="A21" s="428"/>
      <c r="B21" s="1387" t="s">
        <v>2689</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42"/>
      <c r="P22" s="3221"/>
      <c r="Q22" s="1811"/>
      <c r="R22" s="774"/>
      <c r="S22" s="775"/>
      <c r="T22" s="774"/>
      <c r="U22" s="775"/>
      <c r="V22" s="774"/>
      <c r="W22" s="775"/>
      <c r="X22" s="1814"/>
      <c r="Y22" s="3221"/>
      <c r="Z22" s="1815"/>
      <c r="AA22" s="1812">
        <v>1</v>
      </c>
      <c r="AB22" s="1812">
        <v>1</v>
      </c>
      <c r="AC22" s="1812">
        <v>1</v>
      </c>
    </row>
    <row r="23" spans="1:29" ht="82.8">
      <c r="A23" s="428"/>
      <c r="B23" s="451" t="s">
        <v>2690</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1812">
        <f t="shared" si="5"/>
        <v>1</v>
      </c>
    </row>
    <row r="24" spans="1:29" ht="15">
      <c r="A24" s="428"/>
      <c r="B24" s="1387"/>
      <c r="C24" s="447"/>
      <c r="D24" s="448"/>
      <c r="E24" s="2610"/>
      <c r="F24" s="449"/>
      <c r="G24" s="2609"/>
      <c r="H24" s="448"/>
      <c r="I24" s="2610"/>
      <c r="J24" s="448"/>
      <c r="K24" s="615"/>
      <c r="L24" s="1143"/>
      <c r="M24" s="1134"/>
      <c r="N24" s="1134"/>
      <c r="O24" s="1142"/>
      <c r="P24" s="3221"/>
      <c r="Q24" s="1811"/>
      <c r="R24" s="774"/>
      <c r="S24" s="775"/>
      <c r="T24" s="774"/>
      <c r="U24" s="775"/>
      <c r="V24" s="774"/>
      <c r="W24" s="775"/>
      <c r="X24" s="1814"/>
      <c r="Y24" s="3221"/>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1">
        <f>B25</f>
        <v>111</v>
      </c>
      <c r="R25" s="774" t="s">
        <v>17</v>
      </c>
      <c r="S25" s="775">
        <f>F25</f>
        <v>100</v>
      </c>
      <c r="T25" s="774" t="s">
        <v>17</v>
      </c>
      <c r="U25" s="775">
        <f>H25</f>
        <v>100</v>
      </c>
      <c r="V25" s="774" t="s">
        <v>17</v>
      </c>
      <c r="W25" s="775">
        <f>J25</f>
        <v>100</v>
      </c>
      <c r="X25" s="1814"/>
      <c r="Y25" s="3221"/>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1">
        <f t="shared" ref="Q26:Q40" si="11">B26</f>
        <v>111</v>
      </c>
      <c r="R26" s="774" t="s">
        <v>17</v>
      </c>
      <c r="S26" s="775">
        <f>F26</f>
        <v>100</v>
      </c>
      <c r="T26" s="774" t="s">
        <v>17</v>
      </c>
      <c r="U26" s="775">
        <f>H26</f>
        <v>100</v>
      </c>
      <c r="V26" s="774" t="s">
        <v>17</v>
      </c>
      <c r="W26" s="775">
        <f>J26</f>
        <v>100</v>
      </c>
      <c r="X26" s="1814"/>
      <c r="Y26" s="3221"/>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6">
        <f t="shared" si="11"/>
        <v>111</v>
      </c>
      <c r="R27" s="770" t="s">
        <v>17</v>
      </c>
      <c r="S27" s="771">
        <f>F27</f>
        <v>100</v>
      </c>
      <c r="T27" s="770" t="s">
        <v>17</v>
      </c>
      <c r="U27" s="771">
        <f>H27</f>
        <v>100</v>
      </c>
      <c r="V27" s="770" t="s">
        <v>17</v>
      </c>
      <c r="W27" s="771">
        <f>J27</f>
        <v>100</v>
      </c>
      <c r="X27" s="772"/>
      <c r="Y27" s="3221"/>
      <c r="Z27" s="55">
        <f>Q27</f>
        <v>111</v>
      </c>
      <c r="AA27" s="1812">
        <f>D27/F27</f>
        <v>1</v>
      </c>
      <c r="AB27" s="1812">
        <f>D27/H27</f>
        <v>1</v>
      </c>
      <c r="AC27" s="1812">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1">
        <f t="shared" si="11"/>
        <v>111</v>
      </c>
      <c r="R28" s="774" t="s">
        <v>17</v>
      </c>
      <c r="S28" s="775">
        <f t="shared" ref="S28:S40" si="12">F28</f>
        <v>100</v>
      </c>
      <c r="T28" s="774" t="s">
        <v>17</v>
      </c>
      <c r="U28" s="775">
        <f t="shared" ref="U28:U40" si="13">H28</f>
        <v>100</v>
      </c>
      <c r="V28" s="774" t="s">
        <v>17</v>
      </c>
      <c r="W28" s="775">
        <f t="shared" ref="W28:W40" si="14">J28</f>
        <v>100</v>
      </c>
      <c r="X28" s="1814"/>
      <c r="Y28" s="3221"/>
      <c r="Z28" s="1815">
        <f t="shared" ref="Z28:Z40" si="15">Q28</f>
        <v>111</v>
      </c>
      <c r="AA28" s="1812">
        <f t="shared" si="3"/>
        <v>1</v>
      </c>
      <c r="AB28" s="1812">
        <f t="shared" si="4"/>
        <v>1</v>
      </c>
      <c r="AC28" s="1812">
        <f t="shared" si="5"/>
        <v>1</v>
      </c>
    </row>
    <row r="29" spans="1:29" ht="30">
      <c r="A29" s="466" t="s">
        <v>2563</v>
      </c>
      <c r="B29" s="71" t="s">
        <v>2693</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4" t="s">
        <v>2565</v>
      </c>
      <c r="Q29" s="1811" t="str">
        <f t="shared" si="11"/>
        <v>建筑类型</v>
      </c>
      <c r="R29" s="774" t="s">
        <v>17</v>
      </c>
      <c r="S29" s="775">
        <f t="shared" si="12"/>
        <v>100</v>
      </c>
      <c r="T29" s="774" t="s">
        <v>17</v>
      </c>
      <c r="U29" s="775">
        <f t="shared" si="13"/>
        <v>100</v>
      </c>
      <c r="V29" s="774" t="s">
        <v>17</v>
      </c>
      <c r="W29" s="775">
        <f t="shared" si="14"/>
        <v>100</v>
      </c>
      <c r="X29" s="1814"/>
      <c r="Y29" s="3225" t="s">
        <v>2565</v>
      </c>
      <c r="Z29" s="1815" t="str">
        <f t="shared" si="15"/>
        <v>建筑类型</v>
      </c>
      <c r="AA29" s="1812">
        <f t="shared" si="3"/>
        <v>1</v>
      </c>
      <c r="AB29" s="1812">
        <f t="shared" si="4"/>
        <v>1</v>
      </c>
      <c r="AC29" s="181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2" t="e">
        <f t="shared" si="3"/>
        <v>#N/A</v>
      </c>
      <c r="AB30" s="1812" t="e">
        <f t="shared" si="4"/>
        <v>#N/A</v>
      </c>
      <c r="AC30" s="181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1" t="str">
        <f t="shared" si="11"/>
        <v>建筑结构</v>
      </c>
      <c r="R31" s="774" t="s">
        <v>17</v>
      </c>
      <c r="S31" s="775">
        <f t="shared" si="12"/>
        <v>100</v>
      </c>
      <c r="T31" s="774" t="s">
        <v>17</v>
      </c>
      <c r="U31" s="775">
        <f t="shared" si="13"/>
        <v>100</v>
      </c>
      <c r="V31" s="774" t="s">
        <v>17</v>
      </c>
      <c r="W31" s="775">
        <f t="shared" si="14"/>
        <v>100</v>
      </c>
      <c r="X31" s="1814"/>
      <c r="Y31" s="3225"/>
      <c r="Z31" s="1815" t="str">
        <f t="shared" si="15"/>
        <v>建筑结构</v>
      </c>
      <c r="AA31" s="1812">
        <f t="shared" si="3"/>
        <v>1</v>
      </c>
      <c r="AB31" s="1812">
        <f t="shared" si="4"/>
        <v>1</v>
      </c>
      <c r="AC31" s="181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1" t="str">
        <f t="shared" si="11"/>
        <v>公共部分装修</v>
      </c>
      <c r="R32" s="774" t="s">
        <v>17</v>
      </c>
      <c r="S32" s="775">
        <f t="shared" si="12"/>
        <v>100</v>
      </c>
      <c r="T32" s="774" t="s">
        <v>17</v>
      </c>
      <c r="U32" s="775">
        <f t="shared" si="13"/>
        <v>100</v>
      </c>
      <c r="V32" s="774" t="s">
        <v>17</v>
      </c>
      <c r="W32" s="775">
        <f t="shared" si="14"/>
        <v>100</v>
      </c>
      <c r="X32" s="1814"/>
      <c r="Y32" s="3225"/>
      <c r="Z32" s="1815" t="str">
        <f t="shared" si="15"/>
        <v>公共部分装修</v>
      </c>
      <c r="AA32" s="1812">
        <f t="shared" si="3"/>
        <v>1</v>
      </c>
      <c r="AB32" s="1812">
        <f t="shared" si="4"/>
        <v>1</v>
      </c>
      <c r="AC32" s="181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1" t="str">
        <f t="shared" si="11"/>
        <v>成新度</v>
      </c>
      <c r="R33" s="774" t="s">
        <v>17</v>
      </c>
      <c r="S33" s="775" t="e">
        <f t="shared" si="12"/>
        <v>#N/A</v>
      </c>
      <c r="T33" s="774" t="s">
        <v>17</v>
      </c>
      <c r="U33" s="775" t="e">
        <f t="shared" si="13"/>
        <v>#N/A</v>
      </c>
      <c r="V33" s="774" t="s">
        <v>17</v>
      </c>
      <c r="W33" s="775" t="e">
        <f t="shared" si="14"/>
        <v>#N/A</v>
      </c>
      <c r="X33" s="1814"/>
      <c r="Y33" s="3225"/>
      <c r="Z33" s="1815" t="str">
        <f t="shared" si="15"/>
        <v>成新度</v>
      </c>
      <c r="AA33" s="1812" t="e">
        <f t="shared" si="3"/>
        <v>#N/A</v>
      </c>
      <c r="AB33" s="1812" t="e">
        <f t="shared" si="4"/>
        <v>#N/A</v>
      </c>
      <c r="AC33" s="181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6"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2565</v>
      </c>
      <c r="Q35" s="1811" t="str">
        <f t="shared" si="11"/>
        <v>市政基础设施</v>
      </c>
      <c r="R35" s="774" t="s">
        <v>17</v>
      </c>
      <c r="S35" s="775">
        <f t="shared" si="12"/>
        <v>100</v>
      </c>
      <c r="T35" s="774" t="s">
        <v>17</v>
      </c>
      <c r="U35" s="775">
        <f t="shared" si="13"/>
        <v>100</v>
      </c>
      <c r="V35" s="774" t="s">
        <v>17</v>
      </c>
      <c r="W35" s="775">
        <f t="shared" si="14"/>
        <v>100</v>
      </c>
      <c r="X35" s="1814"/>
      <c r="Y35" s="3225" t="s">
        <v>2565</v>
      </c>
      <c r="Z35" s="1815" t="str">
        <f t="shared" si="15"/>
        <v>市政基础设施</v>
      </c>
      <c r="AA35" s="1812">
        <f t="shared" si="3"/>
        <v>1</v>
      </c>
      <c r="AB35" s="1812">
        <f t="shared" si="4"/>
        <v>1</v>
      </c>
      <c r="AC35" s="181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1" t="str">
        <f t="shared" si="11"/>
        <v>内部装修</v>
      </c>
      <c r="R36" s="774" t="s">
        <v>17</v>
      </c>
      <c r="S36" s="775">
        <f t="shared" si="12"/>
        <v>100</v>
      </c>
      <c r="T36" s="774" t="s">
        <v>17</v>
      </c>
      <c r="U36" s="775">
        <f t="shared" si="13"/>
        <v>100</v>
      </c>
      <c r="V36" s="774" t="s">
        <v>17</v>
      </c>
      <c r="W36" s="775">
        <f t="shared" si="14"/>
        <v>100</v>
      </c>
      <c r="X36" s="1814"/>
      <c r="Y36" s="3225"/>
      <c r="Z36" s="1815" t="str">
        <f t="shared" si="15"/>
        <v>内部装修</v>
      </c>
      <c r="AA36" s="1812">
        <f t="shared" si="3"/>
        <v>1</v>
      </c>
      <c r="AB36" s="1812">
        <f t="shared" si="4"/>
        <v>1</v>
      </c>
      <c r="AC36" s="181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1" t="str">
        <f t="shared" si="11"/>
        <v>内部装修状况</v>
      </c>
      <c r="R37" s="774" t="s">
        <v>17</v>
      </c>
      <c r="S37" s="775">
        <f t="shared" si="12"/>
        <v>100</v>
      </c>
      <c r="T37" s="774" t="s">
        <v>17</v>
      </c>
      <c r="U37" s="775">
        <f t="shared" si="13"/>
        <v>100</v>
      </c>
      <c r="V37" s="774" t="s">
        <v>17</v>
      </c>
      <c r="W37" s="775">
        <f t="shared" si="14"/>
        <v>100</v>
      </c>
      <c r="X37" s="1814"/>
      <c r="Y37" s="3225"/>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1">
        <f t="shared" si="11"/>
        <v>111</v>
      </c>
      <c r="R39" s="774" t="s">
        <v>17</v>
      </c>
      <c r="S39" s="775">
        <f t="shared" si="12"/>
        <v>100</v>
      </c>
      <c r="T39" s="774" t="s">
        <v>17</v>
      </c>
      <c r="U39" s="775">
        <f t="shared" si="13"/>
        <v>100</v>
      </c>
      <c r="V39" s="774" t="s">
        <v>17</v>
      </c>
      <c r="W39" s="775">
        <f t="shared" si="14"/>
        <v>100</v>
      </c>
      <c r="X39" s="1814"/>
      <c r="Y39" s="3225"/>
      <c r="Z39" s="1815">
        <f t="shared" si="15"/>
        <v>111</v>
      </c>
      <c r="AA39" s="1812">
        <f t="shared" si="3"/>
        <v>1</v>
      </c>
      <c r="AB39" s="1812">
        <f t="shared" si="4"/>
        <v>1</v>
      </c>
      <c r="AC39" s="1812">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1">
        <f t="shared" si="11"/>
        <v>111</v>
      </c>
      <c r="R40" s="774" t="s">
        <v>17</v>
      </c>
      <c r="S40" s="775">
        <f t="shared" si="12"/>
        <v>100</v>
      </c>
      <c r="T40" s="774" t="s">
        <v>17</v>
      </c>
      <c r="U40" s="775">
        <f t="shared" si="13"/>
        <v>100</v>
      </c>
      <c r="V40" s="774" t="s">
        <v>17</v>
      </c>
      <c r="W40" s="775">
        <f t="shared" si="14"/>
        <v>100</v>
      </c>
      <c r="X40" s="1814"/>
      <c r="Y40" s="3226"/>
      <c r="Z40" s="1815">
        <f t="shared" si="15"/>
        <v>111</v>
      </c>
      <c r="AA40" s="1812">
        <f t="shared" si="3"/>
        <v>1</v>
      </c>
      <c r="AB40" s="1812">
        <f t="shared" si="4"/>
        <v>1</v>
      </c>
      <c r="AC40" s="1812">
        <f t="shared" si="5"/>
        <v>1</v>
      </c>
    </row>
    <row r="41" spans="1:29" ht="14.4">
      <c r="A41" s="479" t="s">
        <v>2577</v>
      </c>
      <c r="B41" s="480"/>
      <c r="C41" s="1409" t="s">
        <v>1</v>
      </c>
      <c r="D41" s="1410"/>
      <c r="E41" s="1411"/>
      <c r="F41" s="1412"/>
      <c r="G41" s="1413"/>
      <c r="H41" s="1414"/>
      <c r="I41" s="1411"/>
      <c r="J41" s="1414"/>
      <c r="K41" s="783"/>
      <c r="L41" s="1146"/>
      <c r="M41" s="1147"/>
      <c r="N41" s="1134"/>
      <c r="O41" s="1147"/>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 thickBot="1">
      <c r="A42" s="486" t="s">
        <v>2669</v>
      </c>
      <c r="B42" s="487"/>
      <c r="C42" s="1415" t="e">
        <f>R43</f>
        <v>#DIV/0!</v>
      </c>
      <c r="D42" s="1416"/>
      <c r="E42" s="1417" t="e">
        <f>R42</f>
        <v>#DIV/0!</v>
      </c>
      <c r="F42" s="1417"/>
      <c r="G42" s="1415" t="e">
        <f>T42</f>
        <v>#DIV/0!</v>
      </c>
      <c r="H42" s="1416"/>
      <c r="I42" s="1417" t="e">
        <f>V42</f>
        <v>#DIV/0!</v>
      </c>
      <c r="J42" s="1416"/>
      <c r="K42" s="784"/>
      <c r="L42" s="1146"/>
      <c r="M42" s="1147"/>
      <c r="N42" s="1134"/>
      <c r="O42" s="1147"/>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 thickBot="1">
      <c r="A43" s="492" t="s">
        <v>2670</v>
      </c>
      <c r="B43" s="493"/>
      <c r="C43" s="1419" t="e">
        <f>R43</f>
        <v>#DIV/0!</v>
      </c>
      <c r="D43" s="1419"/>
      <c r="E43" s="1419"/>
      <c r="F43" s="1419"/>
      <c r="G43" s="1419"/>
      <c r="H43" s="1419"/>
      <c r="I43" s="1419"/>
      <c r="J43" s="1419"/>
      <c r="K43" s="785"/>
      <c r="L43" s="1146"/>
      <c r="M43" s="1147"/>
      <c r="N43" s="1147"/>
      <c r="O43" s="1147"/>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2707</v>
      </c>
      <c r="B1" s="1620"/>
      <c r="C1" s="1621" t="s">
        <v>2530</v>
      </c>
      <c r="D1" s="1622"/>
      <c r="E1" s="1623"/>
      <c r="F1" s="2589"/>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20"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184" t="s">
        <v>2648</v>
      </c>
      <c r="AC4" s="3183" t="s">
        <v>2649</v>
      </c>
    </row>
    <row r="5" spans="1:29">
      <c r="A5" s="404"/>
      <c r="B5" s="405"/>
      <c r="C5" s="3194" t="s">
        <v>2542</v>
      </c>
      <c r="D5" s="3195"/>
      <c r="E5" s="3192" t="s">
        <v>2543</v>
      </c>
      <c r="F5" s="3193"/>
      <c r="G5" s="3194" t="s">
        <v>2544</v>
      </c>
      <c r="H5" s="3195"/>
      <c r="I5" s="3194" t="s">
        <v>2545</v>
      </c>
      <c r="J5" s="3195"/>
      <c r="K5" s="610"/>
      <c r="L5" s="1133"/>
      <c r="M5" s="1134"/>
      <c r="N5" s="1134"/>
      <c r="O5" s="1134"/>
      <c r="P5" s="3207"/>
      <c r="Q5" s="3208"/>
      <c r="R5" s="3190"/>
      <c r="S5" s="3191"/>
      <c r="T5" s="3190"/>
      <c r="U5" s="3191"/>
      <c r="V5" s="3213"/>
      <c r="W5" s="3213"/>
      <c r="X5" s="1814"/>
      <c r="Y5" s="3190"/>
      <c r="Z5" s="3191"/>
      <c r="AA5" s="3184"/>
      <c r="AB5" s="3184"/>
      <c r="AC5" s="3184"/>
    </row>
    <row r="6" spans="1:29" ht="15" thickBot="1">
      <c r="A6" s="406"/>
      <c r="B6" s="407"/>
      <c r="C6" s="3196" t="s">
        <v>2546</v>
      </c>
      <c r="D6" s="3197"/>
      <c r="E6" s="3198" t="s">
        <v>2546</v>
      </c>
      <c r="F6" s="3199"/>
      <c r="G6" s="3196" t="s">
        <v>2546</v>
      </c>
      <c r="H6" s="3197"/>
      <c r="I6" s="3196" t="s">
        <v>2546</v>
      </c>
      <c r="J6" s="3197"/>
      <c r="K6" s="610" t="s">
        <v>2547</v>
      </c>
      <c r="L6" s="1133"/>
      <c r="M6" s="1134"/>
      <c r="N6" s="1134"/>
      <c r="O6" s="1134"/>
      <c r="P6" s="3209"/>
      <c r="Q6" s="3210"/>
      <c r="R6" s="3190"/>
      <c r="S6" s="3191"/>
      <c r="T6" s="3211"/>
      <c r="U6" s="3212"/>
      <c r="V6" s="3213"/>
      <c r="W6" s="3213"/>
      <c r="X6" s="1814"/>
      <c r="Y6" s="3211"/>
      <c r="Z6" s="3212"/>
      <c r="AA6" s="3185"/>
      <c r="AB6" s="3185"/>
      <c r="AC6" s="3185"/>
    </row>
    <row r="7" spans="1:29" s="117" customFormat="1" ht="15" thickBot="1">
      <c r="A7" s="408" t="s">
        <v>2548</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6" t="s">
        <v>2549</v>
      </c>
      <c r="Q7" s="3214"/>
      <c r="R7" s="770" t="s">
        <v>17</v>
      </c>
      <c r="S7" s="771">
        <f t="shared" ref="S7:S14" si="0">F7</f>
        <v>0</v>
      </c>
      <c r="T7" s="770" t="s">
        <v>17</v>
      </c>
      <c r="U7" s="771">
        <f t="shared" ref="U7:U14" si="1">H7</f>
        <v>0</v>
      </c>
      <c r="V7" s="770" t="s">
        <v>17</v>
      </c>
      <c r="W7" s="771">
        <f t="shared" ref="W7:W14" si="2">J7</f>
        <v>0</v>
      </c>
      <c r="X7" s="772"/>
      <c r="Y7" s="3186" t="s">
        <v>2549</v>
      </c>
      <c r="Z7" s="3187"/>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6" t="s">
        <v>2552</v>
      </c>
      <c r="Q8" s="3187"/>
      <c r="R8" s="770" t="s">
        <v>17</v>
      </c>
      <c r="S8" s="771">
        <f t="shared" si="0"/>
        <v>0</v>
      </c>
      <c r="T8" s="770" t="s">
        <v>17</v>
      </c>
      <c r="U8" s="771">
        <f t="shared" si="1"/>
        <v>0</v>
      </c>
      <c r="V8" s="770" t="s">
        <v>17</v>
      </c>
      <c r="W8" s="771">
        <f t="shared" si="2"/>
        <v>0</v>
      </c>
      <c r="X8" s="772"/>
      <c r="Y8" s="3186" t="s">
        <v>2552</v>
      </c>
      <c r="Z8" s="3187"/>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2555</v>
      </c>
      <c r="Q9" s="1796" t="str">
        <f t="shared" ref="Q9:Q14" si="6">B9</f>
        <v>用途</v>
      </c>
      <c r="R9" s="770" t="s">
        <v>17</v>
      </c>
      <c r="S9" s="771">
        <f t="shared" si="0"/>
        <v>100</v>
      </c>
      <c r="T9" s="770" t="s">
        <v>17</v>
      </c>
      <c r="U9" s="771">
        <f t="shared" si="1"/>
        <v>100</v>
      </c>
      <c r="V9" s="770" t="s">
        <v>17</v>
      </c>
      <c r="W9" s="771">
        <f t="shared" si="2"/>
        <v>100</v>
      </c>
      <c r="X9" s="772"/>
      <c r="Y9" s="3033"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6">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6.6">
      <c r="A14" s="401" t="s">
        <v>2559</v>
      </c>
      <c r="B14" s="629" t="s">
        <v>2709</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2560</v>
      </c>
      <c r="Q14" s="1811" t="str">
        <f t="shared" si="6"/>
        <v>交通便捷度</v>
      </c>
      <c r="R14" s="774" t="s">
        <v>17</v>
      </c>
      <c r="S14" s="775">
        <f t="shared" si="0"/>
        <v>100</v>
      </c>
      <c r="T14" s="774" t="s">
        <v>17</v>
      </c>
      <c r="U14" s="775">
        <f t="shared" si="1"/>
        <v>100</v>
      </c>
      <c r="V14" s="774" t="s">
        <v>17</v>
      </c>
      <c r="W14" s="775">
        <f t="shared" si="2"/>
        <v>100</v>
      </c>
      <c r="X14" s="1814"/>
      <c r="Y14" s="3220" t="s">
        <v>2560</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1"/>
      <c r="Q15" s="1811"/>
      <c r="R15" s="774"/>
      <c r="S15" s="775"/>
      <c r="T15" s="774"/>
      <c r="U15" s="775"/>
      <c r="V15" s="774"/>
      <c r="W15" s="775"/>
      <c r="X15" s="1814"/>
      <c r="Y15" s="3221"/>
      <c r="Z15" s="1815"/>
      <c r="AA15" s="1812">
        <v>1</v>
      </c>
      <c r="AB15" s="1812">
        <v>1</v>
      </c>
      <c r="AC15" s="1812">
        <v>1</v>
      </c>
    </row>
    <row r="16" spans="1:29" ht="41.4">
      <c r="A16" s="404"/>
      <c r="B16" s="631" t="s">
        <v>2688</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3"/>
      <c r="M17" s="1134"/>
      <c r="N17" s="1134"/>
      <c r="O17" s="1134"/>
      <c r="P17" s="3221"/>
      <c r="Q17" s="1811"/>
      <c r="R17" s="774"/>
      <c r="S17" s="775"/>
      <c r="T17" s="774"/>
      <c r="U17" s="775"/>
      <c r="V17" s="774"/>
      <c r="W17" s="775"/>
      <c r="X17" s="1814"/>
      <c r="Y17" s="3221"/>
      <c r="Z17" s="1815"/>
      <c r="AA17" s="1812">
        <v>1</v>
      </c>
      <c r="AB17" s="1812">
        <v>1</v>
      </c>
      <c r="AC17" s="1812">
        <v>1</v>
      </c>
    </row>
    <row r="18" spans="1:29" ht="41.4">
      <c r="A18" s="404"/>
      <c r="B18" s="633" t="s">
        <v>2689</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6"/>
      <c r="L19" s="1143"/>
      <c r="M19" s="1134"/>
      <c r="N19" s="1134"/>
      <c r="O19" s="1134"/>
      <c r="P19" s="3221"/>
      <c r="Q19" s="1811"/>
      <c r="R19" s="774"/>
      <c r="S19" s="775"/>
      <c r="T19" s="774"/>
      <c r="U19" s="775"/>
      <c r="V19" s="774"/>
      <c r="W19" s="775"/>
      <c r="X19" s="1814"/>
      <c r="Y19" s="3221"/>
      <c r="Z19" s="1815"/>
      <c r="AA19" s="1812">
        <v>1</v>
      </c>
      <c r="AB19" s="1812">
        <v>1</v>
      </c>
      <c r="AC19" s="1812">
        <v>1</v>
      </c>
    </row>
    <row r="20" spans="1:29" ht="55.2">
      <c r="A20" s="404"/>
      <c r="B20" s="631" t="s">
        <v>2710</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1"/>
      <c r="Q21" s="1811"/>
      <c r="R21" s="774"/>
      <c r="S21" s="775"/>
      <c r="T21" s="774"/>
      <c r="U21" s="775"/>
      <c r="V21" s="774"/>
      <c r="W21" s="775"/>
      <c r="X21" s="1814"/>
      <c r="Y21" s="3221"/>
      <c r="Z21" s="1815"/>
      <c r="AA21" s="1812">
        <v>1</v>
      </c>
      <c r="AB21" s="1812">
        <v>1</v>
      </c>
      <c r="AC21" s="181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1">
        <f t="shared" ref="Q24:Q36"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30">
      <c r="A26" s="652" t="s">
        <v>2563</v>
      </c>
      <c r="B26" s="70" t="s">
        <v>2712</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4" t="s">
        <v>2565</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5" t="s">
        <v>2565</v>
      </c>
      <c r="Z26" s="1815" t="str">
        <f t="shared" ref="Z26:Z36" si="15">Q26</f>
        <v>配套类型</v>
      </c>
      <c r="AA26" s="1812">
        <f t="shared" si="3"/>
        <v>1</v>
      </c>
      <c r="AB26" s="1812">
        <f t="shared" si="4"/>
        <v>1</v>
      </c>
      <c r="AC26" s="181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2">
        <f t="shared" si="3"/>
        <v>1</v>
      </c>
      <c r="AB27" s="1812">
        <f t="shared" si="4"/>
        <v>1</v>
      </c>
      <c r="AC27" s="181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1" t="str">
        <f t="shared" si="11"/>
        <v>公共部分装修</v>
      </c>
      <c r="R28" s="774" t="s">
        <v>17</v>
      </c>
      <c r="S28" s="775">
        <f t="shared" si="12"/>
        <v>100</v>
      </c>
      <c r="T28" s="774" t="s">
        <v>17</v>
      </c>
      <c r="U28" s="775">
        <f t="shared" si="13"/>
        <v>100</v>
      </c>
      <c r="V28" s="774" t="s">
        <v>17</v>
      </c>
      <c r="W28" s="775">
        <f t="shared" si="14"/>
        <v>100</v>
      </c>
      <c r="X28" s="1814"/>
      <c r="Y28" s="3225"/>
      <c r="Z28" s="1815" t="str">
        <f t="shared" si="15"/>
        <v>公共部分装修</v>
      </c>
      <c r="AA28" s="1812">
        <f t="shared" si="3"/>
        <v>1</v>
      </c>
      <c r="AB28" s="1812">
        <f t="shared" si="4"/>
        <v>1</v>
      </c>
      <c r="AC28" s="181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1" t="str">
        <f t="shared" si="11"/>
        <v>成新率</v>
      </c>
      <c r="R29" s="774" t="s">
        <v>17</v>
      </c>
      <c r="S29" s="775" t="e">
        <f t="shared" si="12"/>
        <v>#N/A</v>
      </c>
      <c r="T29" s="774" t="s">
        <v>17</v>
      </c>
      <c r="U29" s="775" t="e">
        <f t="shared" si="13"/>
        <v>#N/A</v>
      </c>
      <c r="V29" s="774" t="s">
        <v>17</v>
      </c>
      <c r="W29" s="775" t="e">
        <f t="shared" si="14"/>
        <v>#N/A</v>
      </c>
      <c r="X29" s="1814"/>
      <c r="Y29" s="3225"/>
      <c r="Z29" s="1815" t="str">
        <f t="shared" si="15"/>
        <v>成新率</v>
      </c>
      <c r="AA29" s="1812" t="e">
        <f t="shared" si="3"/>
        <v>#N/A</v>
      </c>
      <c r="AB29" s="1812" t="e">
        <f t="shared" si="4"/>
        <v>#N/A</v>
      </c>
      <c r="AC29" s="181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1" t="str">
        <f t="shared" si="11"/>
        <v>物业等级</v>
      </c>
      <c r="R30" s="774" t="s">
        <v>17</v>
      </c>
      <c r="S30" s="775">
        <f t="shared" si="12"/>
        <v>100</v>
      </c>
      <c r="T30" s="774" t="s">
        <v>17</v>
      </c>
      <c r="U30" s="775">
        <f t="shared" si="13"/>
        <v>100</v>
      </c>
      <c r="V30" s="774" t="s">
        <v>17</v>
      </c>
      <c r="W30" s="775">
        <f t="shared" si="14"/>
        <v>100</v>
      </c>
      <c r="X30" s="1814"/>
      <c r="Y30" s="3225"/>
      <c r="Z30" s="1815" t="str">
        <f t="shared" si="15"/>
        <v>物业等级</v>
      </c>
      <c r="AA30" s="1812">
        <f t="shared" si="3"/>
        <v>1</v>
      </c>
      <c r="AB30" s="1812">
        <f t="shared" si="4"/>
        <v>1</v>
      </c>
      <c r="AC30" s="181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6"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2565</v>
      </c>
      <c r="Q32" s="1811" t="str">
        <f t="shared" si="11"/>
        <v>车位类型</v>
      </c>
      <c r="R32" s="774" t="s">
        <v>17</v>
      </c>
      <c r="S32" s="775">
        <f t="shared" si="12"/>
        <v>100</v>
      </c>
      <c r="T32" s="774" t="s">
        <v>17</v>
      </c>
      <c r="U32" s="775">
        <f t="shared" si="13"/>
        <v>100</v>
      </c>
      <c r="V32" s="774" t="s">
        <v>17</v>
      </c>
      <c r="W32" s="775">
        <f t="shared" si="14"/>
        <v>100</v>
      </c>
      <c r="X32" s="1814"/>
      <c r="Y32" s="3225" t="s">
        <v>2565</v>
      </c>
      <c r="Z32" s="1815" t="str">
        <f t="shared" si="15"/>
        <v>车位类型</v>
      </c>
      <c r="AA32" s="1812">
        <f t="shared" si="3"/>
        <v>1</v>
      </c>
      <c r="AB32" s="1812">
        <f t="shared" si="4"/>
        <v>1</v>
      </c>
      <c r="AC32" s="181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1" t="str">
        <f t="shared" si="11"/>
        <v>是否直接入户</v>
      </c>
      <c r="R33" s="774" t="s">
        <v>17</v>
      </c>
      <c r="S33" s="775">
        <f t="shared" si="12"/>
        <v>100</v>
      </c>
      <c r="T33" s="774" t="s">
        <v>17</v>
      </c>
      <c r="U33" s="775">
        <f t="shared" si="13"/>
        <v>100</v>
      </c>
      <c r="V33" s="774" t="s">
        <v>17</v>
      </c>
      <c r="W33" s="775">
        <f t="shared" si="14"/>
        <v>100</v>
      </c>
      <c r="X33" s="1814"/>
      <c r="Y33" s="3225"/>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1">
        <f t="shared" si="11"/>
        <v>111</v>
      </c>
      <c r="R36" s="774" t="s">
        <v>17</v>
      </c>
      <c r="S36" s="775">
        <f t="shared" si="12"/>
        <v>100</v>
      </c>
      <c r="T36" s="774" t="s">
        <v>17</v>
      </c>
      <c r="U36" s="775">
        <f t="shared" si="13"/>
        <v>100</v>
      </c>
      <c r="V36" s="774" t="s">
        <v>17</v>
      </c>
      <c r="W36" s="775">
        <f t="shared" si="14"/>
        <v>100</v>
      </c>
      <c r="X36" s="1814"/>
      <c r="Y36" s="3225"/>
      <c r="Z36" s="1815">
        <f t="shared" si="15"/>
        <v>111</v>
      </c>
      <c r="AA36" s="1812">
        <f t="shared" si="3"/>
        <v>1</v>
      </c>
      <c r="AB36" s="1812">
        <f t="shared" si="4"/>
        <v>1</v>
      </c>
      <c r="AC36" s="1812">
        <f t="shared" si="5"/>
        <v>1</v>
      </c>
    </row>
    <row r="37" spans="1:29" ht="14.4">
      <c r="A37" s="479" t="s">
        <v>2720</v>
      </c>
      <c r="B37" s="2700" t="s">
        <v>2721</v>
      </c>
      <c r="C37" s="1409" t="s">
        <v>1</v>
      </c>
      <c r="D37" s="1410"/>
      <c r="E37" s="1411"/>
      <c r="F37" s="1412"/>
      <c r="G37" s="1413"/>
      <c r="H37" s="1414"/>
      <c r="I37" s="1411"/>
      <c r="J37" s="1414"/>
      <c r="K37" s="619"/>
      <c r="L37" s="1146"/>
      <c r="M37" s="1147"/>
      <c r="N37" s="1134"/>
      <c r="O37" s="1147"/>
      <c r="P37" s="3218" t="str">
        <f>A37</f>
        <v>成交单价</v>
      </c>
      <c r="Q37" s="3218"/>
      <c r="R37" s="3219">
        <f>E37</f>
        <v>0</v>
      </c>
      <c r="S37" s="3219"/>
      <c r="T37" s="3219">
        <f>G37</f>
        <v>0</v>
      </c>
      <c r="U37" s="3219"/>
      <c r="V37" s="3219">
        <f>I37</f>
        <v>0</v>
      </c>
      <c r="W37" s="3219"/>
      <c r="X37" s="759"/>
      <c r="Y37" s="781"/>
      <c r="Z37" s="759"/>
      <c r="AA37" s="759"/>
      <c r="AB37" s="759"/>
      <c r="AC37" s="759"/>
    </row>
    <row r="38" spans="1:29" ht="15" thickBot="1">
      <c r="A38" s="486" t="s">
        <v>2722</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 thickBot="1">
      <c r="A39" s="492" t="s">
        <v>2723</v>
      </c>
      <c r="B39" s="493"/>
      <c r="C39" s="1419" t="e">
        <f>R39</f>
        <v>#DIV/0!</v>
      </c>
      <c r="D39" s="1419"/>
      <c r="E39" s="1419"/>
      <c r="F39" s="1419"/>
      <c r="G39" s="1419"/>
      <c r="H39" s="1419"/>
      <c r="I39" s="1419"/>
      <c r="J39" s="1419"/>
      <c r="K39" s="621"/>
      <c r="L39" s="1146"/>
      <c r="M39" s="1147"/>
      <c r="N39" s="1147"/>
      <c r="O39" s="1147"/>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2727</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2728</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2550</v>
      </c>
      <c r="B51" s="510"/>
      <c r="C51" s="522" t="s">
        <v>2652</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2588</v>
      </c>
      <c r="B53" s="528" t="s">
        <v>2554</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2563</v>
      </c>
      <c r="B79" s="528" t="s">
        <v>2730</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2707</v>
      </c>
      <c r="B1" s="1620"/>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184" t="s">
        <v>2648</v>
      </c>
      <c r="AC4" s="3183" t="s">
        <v>2649</v>
      </c>
    </row>
    <row r="5" spans="1:29">
      <c r="A5" s="404"/>
      <c r="B5" s="405"/>
      <c r="C5" s="3194" t="s">
        <v>2542</v>
      </c>
      <c r="D5" s="3195"/>
      <c r="E5" s="3192" t="s">
        <v>2543</v>
      </c>
      <c r="F5" s="3193"/>
      <c r="G5" s="3194" t="s">
        <v>2544</v>
      </c>
      <c r="H5" s="3195"/>
      <c r="I5" s="3194" t="s">
        <v>2545</v>
      </c>
      <c r="J5" s="3195"/>
      <c r="K5" s="610"/>
      <c r="L5" s="1133"/>
      <c r="M5" s="1134"/>
      <c r="N5" s="1134"/>
      <c r="O5" s="1134"/>
      <c r="P5" s="3207"/>
      <c r="Q5" s="3208"/>
      <c r="R5" s="3190"/>
      <c r="S5" s="3191"/>
      <c r="T5" s="3190"/>
      <c r="U5" s="3191"/>
      <c r="V5" s="3213"/>
      <c r="W5" s="3213"/>
      <c r="X5" s="1814"/>
      <c r="Y5" s="3190"/>
      <c r="Z5" s="3191"/>
      <c r="AA5" s="3184"/>
      <c r="AB5" s="3184"/>
      <c r="AC5" s="3184"/>
    </row>
    <row r="6" spans="1:29" ht="15" thickBot="1">
      <c r="A6" s="406"/>
      <c r="B6" s="407"/>
      <c r="C6" s="3196" t="s">
        <v>2546</v>
      </c>
      <c r="D6" s="3197"/>
      <c r="E6" s="3198" t="s">
        <v>2546</v>
      </c>
      <c r="F6" s="3199"/>
      <c r="G6" s="3196" t="s">
        <v>2546</v>
      </c>
      <c r="H6" s="3197"/>
      <c r="I6" s="3196" t="s">
        <v>2546</v>
      </c>
      <c r="J6" s="3197"/>
      <c r="K6" s="610" t="s">
        <v>2547</v>
      </c>
      <c r="L6" s="1133"/>
      <c r="M6" s="1134"/>
      <c r="N6" s="1134"/>
      <c r="O6" s="1134"/>
      <c r="P6" s="3209"/>
      <c r="Q6" s="3210"/>
      <c r="R6" s="3190"/>
      <c r="S6" s="3191"/>
      <c r="T6" s="3211"/>
      <c r="U6" s="3212"/>
      <c r="V6" s="3213"/>
      <c r="W6" s="3213"/>
      <c r="X6" s="1814"/>
      <c r="Y6" s="3211"/>
      <c r="Z6" s="3212"/>
      <c r="AA6" s="3185"/>
      <c r="AB6" s="3185"/>
      <c r="AC6" s="3185"/>
    </row>
    <row r="7" spans="1:29" s="117" customFormat="1" ht="15" thickBot="1">
      <c r="A7" s="408" t="s">
        <v>2548</v>
      </c>
      <c r="B7" s="409"/>
      <c r="C7" s="410">
        <f>'数据-取费表'!B2</f>
        <v>43488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6" t="s">
        <v>2549</v>
      </c>
      <c r="Q7" s="3214"/>
      <c r="R7" s="770" t="s">
        <v>17</v>
      </c>
      <c r="S7" s="771">
        <f t="shared" ref="S7:S14" si="0">F7</f>
        <v>0</v>
      </c>
      <c r="T7" s="770" t="s">
        <v>17</v>
      </c>
      <c r="U7" s="771">
        <f t="shared" ref="U7:U14" si="1">H7</f>
        <v>0</v>
      </c>
      <c r="V7" s="770" t="s">
        <v>17</v>
      </c>
      <c r="W7" s="771">
        <f t="shared" ref="W7:W14" si="2">J7</f>
        <v>0</v>
      </c>
      <c r="X7" s="772"/>
      <c r="Y7" s="3186" t="s">
        <v>2549</v>
      </c>
      <c r="Z7" s="3187"/>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6" t="s">
        <v>2552</v>
      </c>
      <c r="Q8" s="3187"/>
      <c r="R8" s="770" t="s">
        <v>17</v>
      </c>
      <c r="S8" s="771">
        <f t="shared" si="0"/>
        <v>0</v>
      </c>
      <c r="T8" s="770" t="s">
        <v>17</v>
      </c>
      <c r="U8" s="771">
        <f t="shared" si="1"/>
        <v>0</v>
      </c>
      <c r="V8" s="770" t="s">
        <v>17</v>
      </c>
      <c r="W8" s="771">
        <f t="shared" si="2"/>
        <v>0</v>
      </c>
      <c r="X8" s="772"/>
      <c r="Y8" s="3186" t="s">
        <v>2552</v>
      </c>
      <c r="Z8" s="3187"/>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2555</v>
      </c>
      <c r="Q9" s="1796" t="str">
        <f t="shared" ref="Q9:Q14" si="6">B9</f>
        <v>用途</v>
      </c>
      <c r="R9" s="770" t="s">
        <v>17</v>
      </c>
      <c r="S9" s="771">
        <f t="shared" si="0"/>
        <v>100</v>
      </c>
      <c r="T9" s="770" t="s">
        <v>17</v>
      </c>
      <c r="U9" s="771">
        <f t="shared" si="1"/>
        <v>100</v>
      </c>
      <c r="V9" s="770" t="s">
        <v>17</v>
      </c>
      <c r="W9" s="771">
        <f t="shared" si="2"/>
        <v>100</v>
      </c>
      <c r="X9" s="772"/>
      <c r="Y9" s="3033"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6">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6.6">
      <c r="A14" s="440" t="s">
        <v>2559</v>
      </c>
      <c r="B14" s="69" t="s">
        <v>2709</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2560</v>
      </c>
      <c r="Q14" s="1811" t="str">
        <f t="shared" si="6"/>
        <v>交通便捷度</v>
      </c>
      <c r="R14" s="774" t="s">
        <v>17</v>
      </c>
      <c r="S14" s="775">
        <f t="shared" si="0"/>
        <v>100</v>
      </c>
      <c r="T14" s="774" t="s">
        <v>17</v>
      </c>
      <c r="U14" s="775">
        <f t="shared" si="1"/>
        <v>100</v>
      </c>
      <c r="V14" s="774" t="s">
        <v>17</v>
      </c>
      <c r="W14" s="775">
        <f t="shared" si="2"/>
        <v>100</v>
      </c>
      <c r="X14" s="1814"/>
      <c r="Y14" s="3220" t="s">
        <v>2560</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1"/>
      <c r="Q15" s="1811"/>
      <c r="R15" s="774"/>
      <c r="S15" s="775"/>
      <c r="T15" s="774"/>
      <c r="U15" s="775"/>
      <c r="V15" s="774"/>
      <c r="W15" s="775"/>
      <c r="X15" s="1814"/>
      <c r="Y15" s="3221"/>
      <c r="Z15" s="1815"/>
      <c r="AA15" s="1812">
        <v>1</v>
      </c>
      <c r="AB15" s="1812">
        <v>1</v>
      </c>
      <c r="AC15" s="1812">
        <v>1</v>
      </c>
    </row>
    <row r="16" spans="1:29" ht="41.4">
      <c r="A16" s="428"/>
      <c r="B16" s="451" t="s">
        <v>2688</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3"/>
      <c r="M17" s="1134"/>
      <c r="N17" s="1134"/>
      <c r="O17" s="1142"/>
      <c r="P17" s="3221"/>
      <c r="Q17" s="1811"/>
      <c r="R17" s="774"/>
      <c r="S17" s="775"/>
      <c r="T17" s="774"/>
      <c r="U17" s="775"/>
      <c r="V17" s="774"/>
      <c r="W17" s="775"/>
      <c r="X17" s="1814"/>
      <c r="Y17" s="3221"/>
      <c r="Z17" s="1815"/>
      <c r="AA17" s="1812">
        <v>1</v>
      </c>
      <c r="AB17" s="1812">
        <v>1</v>
      </c>
      <c r="AC17" s="1812">
        <v>1</v>
      </c>
    </row>
    <row r="18" spans="1:29" ht="41.4">
      <c r="A18" s="428"/>
      <c r="B18" s="1387" t="s">
        <v>2689</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28"/>
      <c r="B19" s="1387"/>
      <c r="C19" s="2613"/>
      <c r="D19" s="450"/>
      <c r="E19" s="2613"/>
      <c r="F19" s="453"/>
      <c r="G19" s="2613"/>
      <c r="H19" s="448"/>
      <c r="I19" s="447"/>
      <c r="J19" s="448"/>
      <c r="K19" s="1386"/>
      <c r="L19" s="1143"/>
      <c r="M19" s="1134"/>
      <c r="N19" s="1134"/>
      <c r="O19" s="1142"/>
      <c r="P19" s="3221"/>
      <c r="Q19" s="1811"/>
      <c r="R19" s="774"/>
      <c r="S19" s="775"/>
      <c r="T19" s="774"/>
      <c r="U19" s="775"/>
      <c r="V19" s="774"/>
      <c r="W19" s="775"/>
      <c r="X19" s="1814"/>
      <c r="Y19" s="3221"/>
      <c r="Z19" s="1815"/>
      <c r="AA19" s="1812">
        <v>1</v>
      </c>
      <c r="AB19" s="1812">
        <v>1</v>
      </c>
      <c r="AC19" s="1812">
        <v>1</v>
      </c>
    </row>
    <row r="20" spans="1:29" ht="55.2">
      <c r="A20" s="428"/>
      <c r="B20" s="451" t="s">
        <v>2710</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1"/>
      <c r="Q21" s="1811"/>
      <c r="R21" s="774"/>
      <c r="S21" s="775"/>
      <c r="T21" s="774"/>
      <c r="U21" s="775"/>
      <c r="V21" s="774"/>
      <c r="W21" s="775"/>
      <c r="X21" s="1814"/>
      <c r="Y21" s="3221"/>
      <c r="Z21" s="1815"/>
      <c r="AA21" s="1812">
        <v>1</v>
      </c>
      <c r="AB21" s="1812">
        <v>1</v>
      </c>
      <c r="AC21" s="181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1">
        <f t="shared" ref="Q24:Q34"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30">
      <c r="A26" s="466" t="s">
        <v>2563</v>
      </c>
      <c r="B26" s="71" t="s">
        <v>2714</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4" t="s">
        <v>2565</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5" t="s">
        <v>2565</v>
      </c>
      <c r="Z26" s="1815" t="str">
        <f t="shared" ref="Z26:Z34" si="15">Q26</f>
        <v>公共部分装修</v>
      </c>
      <c r="AA26" s="1812">
        <f t="shared" si="3"/>
        <v>1</v>
      </c>
      <c r="AB26" s="1812">
        <f t="shared" si="4"/>
        <v>1</v>
      </c>
      <c r="AC26" s="181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2" t="e">
        <f t="shared" si="3"/>
        <v>#N/A</v>
      </c>
      <c r="AB27" s="1812" t="e">
        <f t="shared" si="4"/>
        <v>#N/A</v>
      </c>
      <c r="AC27" s="181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1" t="str">
        <f t="shared" si="11"/>
        <v>物业等级</v>
      </c>
      <c r="R28" s="774" t="s">
        <v>17</v>
      </c>
      <c r="S28" s="775">
        <f t="shared" si="12"/>
        <v>100</v>
      </c>
      <c r="T28" s="774" t="s">
        <v>17</v>
      </c>
      <c r="U28" s="775">
        <f t="shared" si="13"/>
        <v>100</v>
      </c>
      <c r="V28" s="774" t="s">
        <v>17</v>
      </c>
      <c r="W28" s="775">
        <f t="shared" si="14"/>
        <v>100</v>
      </c>
      <c r="X28" s="1814"/>
      <c r="Y28" s="3225"/>
      <c r="Z28" s="1815" t="str">
        <f t="shared" si="15"/>
        <v>物业等级</v>
      </c>
      <c r="AA28" s="1812">
        <f t="shared" si="3"/>
        <v>1</v>
      </c>
      <c r="AB28" s="1812">
        <f t="shared" si="4"/>
        <v>1</v>
      </c>
      <c r="AC28" s="181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1" t="str">
        <f t="shared" si="11"/>
        <v>有无电梯</v>
      </c>
      <c r="R29" s="774" t="s">
        <v>17</v>
      </c>
      <c r="S29" s="775">
        <f t="shared" si="12"/>
        <v>100</v>
      </c>
      <c r="T29" s="774" t="s">
        <v>17</v>
      </c>
      <c r="U29" s="775">
        <f t="shared" si="13"/>
        <v>100</v>
      </c>
      <c r="V29" s="774" t="s">
        <v>17</v>
      </c>
      <c r="W29" s="775">
        <f t="shared" si="14"/>
        <v>100</v>
      </c>
      <c r="X29" s="1814"/>
      <c r="Y29" s="3225"/>
      <c r="Z29" s="1815" t="str">
        <f t="shared" si="15"/>
        <v>有无电梯</v>
      </c>
      <c r="AA29" s="1812">
        <f t="shared" si="3"/>
        <v>1</v>
      </c>
      <c r="AB29" s="1812">
        <f t="shared" si="4"/>
        <v>1</v>
      </c>
      <c r="AC29" s="181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1" t="str">
        <f t="shared" si="11"/>
        <v>建筑面积</v>
      </c>
      <c r="R30" s="774" t="s">
        <v>17</v>
      </c>
      <c r="S30" s="775" t="e">
        <f t="shared" si="12"/>
        <v>#N/A</v>
      </c>
      <c r="T30" s="774" t="s">
        <v>17</v>
      </c>
      <c r="U30" s="775" t="e">
        <f t="shared" si="13"/>
        <v>#N/A</v>
      </c>
      <c r="V30" s="774" t="s">
        <v>17</v>
      </c>
      <c r="W30" s="775" t="e">
        <f t="shared" si="14"/>
        <v>#N/A</v>
      </c>
      <c r="X30" s="1814"/>
      <c r="Y30" s="3225"/>
      <c r="Z30" s="1815" t="str">
        <f t="shared" si="15"/>
        <v>建筑面积</v>
      </c>
      <c r="AA30" s="1812" t="e">
        <f t="shared" si="3"/>
        <v>#N/A</v>
      </c>
      <c r="AB30" s="1812" t="e">
        <f t="shared" si="4"/>
        <v>#N/A</v>
      </c>
      <c r="AC30" s="181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6"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2565</v>
      </c>
      <c r="Q32" s="1811">
        <f t="shared" si="11"/>
        <v>111</v>
      </c>
      <c r="R32" s="774" t="s">
        <v>17</v>
      </c>
      <c r="S32" s="775">
        <f t="shared" si="12"/>
        <v>100</v>
      </c>
      <c r="T32" s="774" t="s">
        <v>17</v>
      </c>
      <c r="U32" s="775">
        <f t="shared" si="13"/>
        <v>100</v>
      </c>
      <c r="V32" s="774" t="s">
        <v>17</v>
      </c>
      <c r="W32" s="775">
        <f t="shared" si="14"/>
        <v>100</v>
      </c>
      <c r="X32" s="1814"/>
      <c r="Y32" s="3225" t="s">
        <v>2565</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1">
        <f t="shared" si="11"/>
        <v>111</v>
      </c>
      <c r="R33" s="774" t="s">
        <v>17</v>
      </c>
      <c r="S33" s="775">
        <f t="shared" si="12"/>
        <v>100</v>
      </c>
      <c r="T33" s="774" t="s">
        <v>17</v>
      </c>
      <c r="U33" s="775">
        <f t="shared" si="13"/>
        <v>100</v>
      </c>
      <c r="V33" s="774" t="s">
        <v>17</v>
      </c>
      <c r="W33" s="775">
        <f t="shared" si="14"/>
        <v>100</v>
      </c>
      <c r="X33" s="1814"/>
      <c r="Y33" s="3225"/>
      <c r="Z33" s="1815">
        <f t="shared" si="15"/>
        <v>111</v>
      </c>
      <c r="AA33" s="1812">
        <f t="shared" si="3"/>
        <v>1</v>
      </c>
      <c r="AB33" s="1812">
        <f t="shared" si="4"/>
        <v>1</v>
      </c>
      <c r="AC33" s="1812">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ht="14.4">
      <c r="A35" s="479" t="s">
        <v>2577</v>
      </c>
      <c r="B35" s="480"/>
      <c r="C35" s="1409" t="s">
        <v>1</v>
      </c>
      <c r="D35" s="1410"/>
      <c r="E35" s="1411"/>
      <c r="F35" s="1412"/>
      <c r="G35" s="1413"/>
      <c r="H35" s="1414"/>
      <c r="I35" s="1411"/>
      <c r="J35" s="1414"/>
      <c r="K35" s="783"/>
      <c r="L35" s="1146"/>
      <c r="M35" s="1147"/>
      <c r="N35" s="1134"/>
      <c r="O35" s="1147"/>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 thickBot="1">
      <c r="A36" s="486" t="s">
        <v>2669</v>
      </c>
      <c r="B36" s="487"/>
      <c r="C36" s="1415" t="e">
        <f>R37</f>
        <v>#DIV/0!</v>
      </c>
      <c r="D36" s="1416"/>
      <c r="E36" s="1417" t="e">
        <f>R36</f>
        <v>#DIV/0!</v>
      </c>
      <c r="F36" s="1417"/>
      <c r="G36" s="1415" t="e">
        <f>T36</f>
        <v>#DIV/0!</v>
      </c>
      <c r="H36" s="1416"/>
      <c r="I36" s="1417" t="e">
        <f>V36</f>
        <v>#DIV/0!</v>
      </c>
      <c r="J36" s="1416"/>
      <c r="K36" s="784"/>
      <c r="L36" s="1146"/>
      <c r="M36" s="1147"/>
      <c r="N36" s="1134"/>
      <c r="O36" s="1147"/>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 thickBot="1">
      <c r="A37" s="492" t="s">
        <v>2670</v>
      </c>
      <c r="B37" s="493"/>
      <c r="C37" s="1419" t="e">
        <f>R37</f>
        <v>#DIV/0!</v>
      </c>
      <c r="D37" s="1419"/>
      <c r="E37" s="1419"/>
      <c r="F37" s="1419"/>
      <c r="G37" s="1419"/>
      <c r="H37" s="1419"/>
      <c r="I37" s="1419"/>
      <c r="J37" s="1419"/>
      <c r="K37" s="785"/>
      <c r="L37" s="1146"/>
      <c r="M37" s="1147"/>
      <c r="N37" s="1147"/>
      <c r="O37" s="1147"/>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70" zoomScaleNormal="70" workbookViewId="0">
      <selection activeCell="R84" sqref="R84"/>
    </sheetView>
  </sheetViews>
  <sheetFormatPr defaultRowHeight="14.4"/>
  <sheetData/>
  <phoneticPr fontId="14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9" sqref="E19"/>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1.66406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32160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2318</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184" t="s">
        <v>2648</v>
      </c>
      <c r="AC4" s="3183" t="s">
        <v>2649</v>
      </c>
    </row>
    <row r="5" spans="1:30">
      <c r="A5" s="404"/>
      <c r="B5" s="405"/>
      <c r="C5" s="3194" t="s">
        <v>2542</v>
      </c>
      <c r="D5" s="3195"/>
      <c r="E5" s="3192" t="str">
        <f>土地案例!A22</f>
        <v>海口市博义盐灶棚改项目B-08地块</v>
      </c>
      <c r="F5" s="3193"/>
      <c r="G5" s="3194" t="str">
        <f>土地案例!A23</f>
        <v>海甸岛沿江西路南侧</v>
      </c>
      <c r="H5" s="3195"/>
      <c r="I5" s="3194" t="str">
        <f>土地案例!A26</f>
        <v>海口市长秀片区蓝城大道西与紫园路交叉口西北角</v>
      </c>
      <c r="J5" s="3195"/>
      <c r="K5" s="610"/>
      <c r="L5" s="1133"/>
      <c r="M5" s="1134"/>
      <c r="N5" s="1134"/>
      <c r="O5" s="1134"/>
      <c r="P5" s="3207"/>
      <c r="Q5" s="3208"/>
      <c r="R5" s="3190"/>
      <c r="S5" s="3191"/>
      <c r="T5" s="3190"/>
      <c r="U5" s="3191"/>
      <c r="V5" s="3213"/>
      <c r="W5" s="3213"/>
      <c r="X5" s="1814"/>
      <c r="Y5" s="3190"/>
      <c r="Z5" s="3191"/>
      <c r="AA5" s="3184"/>
      <c r="AB5" s="3184"/>
      <c r="AC5" s="3184"/>
    </row>
    <row r="6" spans="1:30" ht="15" thickBot="1">
      <c r="A6" s="406"/>
      <c r="B6" s="407"/>
      <c r="C6" s="3196" t="s">
        <v>2546</v>
      </c>
      <c r="D6" s="3197"/>
      <c r="E6" s="3198" t="s">
        <v>2546</v>
      </c>
      <c r="F6" s="3199"/>
      <c r="G6" s="3196" t="s">
        <v>2546</v>
      </c>
      <c r="H6" s="3197"/>
      <c r="I6" s="3196" t="s">
        <v>2546</v>
      </c>
      <c r="J6" s="3197"/>
      <c r="K6" s="610" t="s">
        <v>2547</v>
      </c>
      <c r="L6" s="1133"/>
      <c r="M6" s="1134"/>
      <c r="N6" s="1134"/>
      <c r="O6" s="1134"/>
      <c r="P6" s="3209"/>
      <c r="Q6" s="3210"/>
      <c r="R6" s="3190"/>
      <c r="S6" s="3191"/>
      <c r="T6" s="3211"/>
      <c r="U6" s="3212"/>
      <c r="V6" s="3213"/>
      <c r="W6" s="3213"/>
      <c r="X6" s="1814"/>
      <c r="Y6" s="3211"/>
      <c r="Z6" s="3212"/>
      <c r="AA6" s="3185"/>
      <c r="AB6" s="3185"/>
      <c r="AC6" s="3185"/>
    </row>
    <row r="7" spans="1:30" s="117" customFormat="1" ht="15" thickBot="1">
      <c r="A7" s="408" t="s">
        <v>2548</v>
      </c>
      <c r="B7" s="409"/>
      <c r="C7" s="410">
        <f>'数据-取费表'!B2</f>
        <v>43488</v>
      </c>
      <c r="D7" s="411">
        <v>100</v>
      </c>
      <c r="E7" s="412" t="str">
        <f>土地案例!AA22</f>
        <v>2016-11-28</v>
      </c>
      <c r="F7" s="413">
        <f>SUMIF(70:70,YEAR(E7)&amp;"-"&amp;INT((MONTH(E7)+2)/3),71:71)</f>
        <v>95.5</v>
      </c>
      <c r="G7" s="2701" t="str">
        <f>土地案例!AA23</f>
        <v>2016-10-09</v>
      </c>
      <c r="H7" s="411">
        <f>SUMIF(70:70,YEAR(G7)&amp;"-"&amp;INT((MONTH(G7)+2)/3),71:71)</f>
        <v>95.5</v>
      </c>
      <c r="I7" s="2701" t="str">
        <f>土地案例!AA26</f>
        <v>2016-03-11</v>
      </c>
      <c r="J7" s="411">
        <f>SUMIF(70:70,YEAR(I7)&amp;"-"&amp;INT((MONTH(I7)+2)/3),71:71)</f>
        <v>94</v>
      </c>
      <c r="K7" s="611"/>
      <c r="L7" s="1135"/>
      <c r="M7" s="1136"/>
      <c r="N7" s="1136"/>
      <c r="O7" s="1136"/>
      <c r="P7" s="3186" t="s">
        <v>2549</v>
      </c>
      <c r="Q7" s="3214"/>
      <c r="R7" s="770" t="s">
        <v>17</v>
      </c>
      <c r="S7" s="771">
        <f t="shared" ref="S7:S15" si="0">F7</f>
        <v>95.5</v>
      </c>
      <c r="T7" s="770" t="s">
        <v>17</v>
      </c>
      <c r="U7" s="771">
        <f t="shared" ref="U7:U15" si="1">H7</f>
        <v>95.5</v>
      </c>
      <c r="V7" s="770" t="s">
        <v>17</v>
      </c>
      <c r="W7" s="771">
        <f t="shared" ref="W7:W15" si="2">J7</f>
        <v>94</v>
      </c>
      <c r="X7" s="772"/>
      <c r="Y7" s="3186" t="s">
        <v>2549</v>
      </c>
      <c r="Z7" s="3187"/>
      <c r="AA7" s="773">
        <f>D7/F7</f>
        <v>1.0471204188481675</v>
      </c>
      <c r="AB7" s="773">
        <f>D7/H7</f>
        <v>1.0471204188481675</v>
      </c>
      <c r="AC7" s="773">
        <f>D7/J7</f>
        <v>1.0638297872340425</v>
      </c>
    </row>
    <row r="8" spans="1:30" s="117" customFormat="1" ht="15" thickBot="1">
      <c r="A8" s="408" t="s">
        <v>2550</v>
      </c>
      <c r="B8" s="409"/>
      <c r="C8" s="414" t="s">
        <v>2551</v>
      </c>
      <c r="D8" s="411">
        <v>100</v>
      </c>
      <c r="E8" s="414" t="s">
        <v>3363</v>
      </c>
      <c r="F8" s="413">
        <f>SUMIF(73:73,E8,74:74)-SUMIF(73:73,C8,74:74)+100</f>
        <v>100</v>
      </c>
      <c r="G8" s="414" t="s">
        <v>3363</v>
      </c>
      <c r="H8" s="411">
        <f>SUMIF(73:73,G8,74:74)-SUMIF(73:73,C8,74:74)+100</f>
        <v>100</v>
      </c>
      <c r="I8" s="414" t="s">
        <v>3363</v>
      </c>
      <c r="J8" s="411">
        <f>SUMIF(73:73,I8,74:74)-SUMIF(73:73,C8,74:74)+100</f>
        <v>100</v>
      </c>
      <c r="K8" s="611"/>
      <c r="L8" s="1135"/>
      <c r="M8" s="1136"/>
      <c r="N8" s="1136"/>
      <c r="O8" s="1136"/>
      <c r="P8" s="3186" t="s">
        <v>2552</v>
      </c>
      <c r="Q8" s="3187"/>
      <c r="R8" s="770" t="s">
        <v>17</v>
      </c>
      <c r="S8" s="771">
        <f t="shared" si="0"/>
        <v>100</v>
      </c>
      <c r="T8" s="770" t="s">
        <v>17</v>
      </c>
      <c r="U8" s="771">
        <f t="shared" si="1"/>
        <v>100</v>
      </c>
      <c r="V8" s="770" t="s">
        <v>17</v>
      </c>
      <c r="W8" s="771">
        <f t="shared" si="2"/>
        <v>100</v>
      </c>
      <c r="X8" s="772"/>
      <c r="Y8" s="3186" t="s">
        <v>2552</v>
      </c>
      <c r="Z8" s="3187"/>
      <c r="AA8" s="773">
        <f t="shared" ref="AA8:AA45" si="3">D8/F8</f>
        <v>1</v>
      </c>
      <c r="AB8" s="773">
        <f t="shared" ref="AB8:AB45" si="4">D8/H8</f>
        <v>1</v>
      </c>
      <c r="AC8" s="773">
        <f t="shared" ref="AC8:AC45" si="5">D8/J8</f>
        <v>1</v>
      </c>
    </row>
    <row r="9" spans="1:30" s="117" customFormat="1" ht="14.4">
      <c r="A9" s="415" t="s">
        <v>2553</v>
      </c>
      <c r="B9" s="71" t="s">
        <v>2554</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18"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t="s">
        <v>3385</v>
      </c>
      <c r="F10" s="136">
        <f>ROUND(100/'数据-取费表'!G16,0)</f>
        <v>103</v>
      </c>
      <c r="G10" s="463" t="s">
        <v>3385</v>
      </c>
      <c r="H10" s="136">
        <f>ROUND(100/'数据-取费表'!G16,0)</f>
        <v>103</v>
      </c>
      <c r="I10" s="463" t="s">
        <v>3385</v>
      </c>
      <c r="J10" s="136">
        <f>ROUND(100/'数据-取费表'!G16,0)</f>
        <v>103</v>
      </c>
      <c r="K10" s="672"/>
      <c r="L10" s="1138"/>
      <c r="M10" s="1139"/>
      <c r="N10" s="1139"/>
      <c r="O10" s="1140"/>
      <c r="P10" s="3218"/>
      <c r="Q10" s="1796"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30" ht="15">
      <c r="A11" s="428"/>
      <c r="B11" s="422" t="s">
        <v>2558</v>
      </c>
      <c r="C11" s="429">
        <f>'数据-汇总表'!I6</f>
        <v>25.19</v>
      </c>
      <c r="D11" s="136">
        <v>100</v>
      </c>
      <c r="E11" s="429">
        <v>4</v>
      </c>
      <c r="F11" s="136">
        <f>LOOKUP(E11,80:80,81:81)-LOOKUP(C11,80:80,81:81)+100</f>
        <v>105</v>
      </c>
      <c r="G11" s="430">
        <v>2.5</v>
      </c>
      <c r="H11" s="136">
        <f>LOOKUP(G11,80:80,81:81)-LOOKUP(C11,80:80,81:81)+100</f>
        <v>105</v>
      </c>
      <c r="I11" s="429">
        <v>2</v>
      </c>
      <c r="J11" s="136">
        <f>LOOKUP(I11,80:80,81:81)-LOOKUP(C11,80:80,81:81)+100</f>
        <v>105</v>
      </c>
      <c r="K11" s="673">
        <v>1</v>
      </c>
      <c r="L11" s="1141"/>
      <c r="M11" s="1134"/>
      <c r="N11" s="1134"/>
      <c r="O11" s="1142"/>
      <c r="P11" s="3218"/>
      <c r="Q11" s="1796" t="str">
        <f t="shared" si="6"/>
        <v>容积率</v>
      </c>
      <c r="R11" s="770" t="s">
        <v>17</v>
      </c>
      <c r="S11" s="771">
        <f t="shared" si="0"/>
        <v>105</v>
      </c>
      <c r="T11" s="770" t="s">
        <v>17</v>
      </c>
      <c r="U11" s="771">
        <f t="shared" si="1"/>
        <v>105</v>
      </c>
      <c r="V11" s="770" t="s">
        <v>17</v>
      </c>
      <c r="W11" s="771">
        <f t="shared" si="2"/>
        <v>105</v>
      </c>
      <c r="X11" s="772"/>
      <c r="Y11" s="3033"/>
      <c r="Z11" s="55" t="str">
        <f t="shared" si="7"/>
        <v>容积率</v>
      </c>
      <c r="AA11" s="773">
        <f t="shared" si="3"/>
        <v>0.95238095238095233</v>
      </c>
      <c r="AB11" s="773">
        <f t="shared" si="4"/>
        <v>0.95238095238095233</v>
      </c>
      <c r="AC11" s="773">
        <f t="shared" si="5"/>
        <v>0.95238095238095233</v>
      </c>
    </row>
    <row r="12" spans="1:30" s="117" customFormat="1" ht="15" hidden="1">
      <c r="A12" s="431"/>
      <c r="B12" s="2605"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6"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6"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6.6" hidden="1">
      <c r="A15" s="440" t="s">
        <v>2559</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0" t="s">
        <v>2560</v>
      </c>
      <c r="Q15" s="1811" t="str">
        <f t="shared" si="6"/>
        <v>居住社区成熟度</v>
      </c>
      <c r="R15" s="774" t="s">
        <v>17</v>
      </c>
      <c r="S15" s="775">
        <f t="shared" si="0"/>
        <v>100</v>
      </c>
      <c r="T15" s="774" t="s">
        <v>17</v>
      </c>
      <c r="U15" s="775">
        <f t="shared" si="1"/>
        <v>100</v>
      </c>
      <c r="V15" s="774" t="s">
        <v>17</v>
      </c>
      <c r="W15" s="775">
        <f t="shared" si="2"/>
        <v>100</v>
      </c>
      <c r="X15" s="1814"/>
      <c r="Y15" s="3220" t="s">
        <v>2560</v>
      </c>
      <c r="Z15" s="1815" t="str">
        <f t="shared" si="7"/>
        <v>居住社区成熟度</v>
      </c>
      <c r="AA15" s="1812">
        <f t="shared" si="3"/>
        <v>1</v>
      </c>
      <c r="AB15" s="1812">
        <f t="shared" si="4"/>
        <v>1</v>
      </c>
      <c r="AC15" s="1812">
        <f t="shared" si="5"/>
        <v>1</v>
      </c>
    </row>
    <row r="16" spans="1:30" ht="15" hidden="1">
      <c r="A16" s="428"/>
      <c r="B16" s="446"/>
      <c r="C16" s="447"/>
      <c r="D16" s="448"/>
      <c r="E16" s="2610"/>
      <c r="F16" s="448"/>
      <c r="G16" s="2610"/>
      <c r="H16" s="450"/>
      <c r="I16" s="2609"/>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82.8">
      <c r="A17" s="428"/>
      <c r="B17" s="451" t="s">
        <v>2653</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95</v>
      </c>
      <c r="K17" s="673">
        <v>5</v>
      </c>
      <c r="L17" s="1143"/>
      <c r="M17" s="1134"/>
      <c r="N17" s="1134"/>
      <c r="O17" s="1142"/>
      <c r="P17" s="3221"/>
      <c r="Q17" s="1811" t="str">
        <f>B17</f>
        <v>商业繁华度</v>
      </c>
      <c r="R17" s="774" t="s">
        <v>17</v>
      </c>
      <c r="S17" s="775">
        <f>F17</f>
        <v>100</v>
      </c>
      <c r="T17" s="774" t="s">
        <v>17</v>
      </c>
      <c r="U17" s="775">
        <f>H17</f>
        <v>100</v>
      </c>
      <c r="V17" s="774" t="s">
        <v>17</v>
      </c>
      <c r="W17" s="775">
        <f>J17</f>
        <v>95</v>
      </c>
      <c r="X17" s="1814"/>
      <c r="Y17" s="3221"/>
      <c r="Z17" s="1815" t="str">
        <f>Q17</f>
        <v>商业繁华度</v>
      </c>
      <c r="AA17" s="1812">
        <f t="shared" si="3"/>
        <v>1</v>
      </c>
      <c r="AB17" s="1812">
        <f t="shared" si="4"/>
        <v>1</v>
      </c>
      <c r="AC17" s="1812">
        <f t="shared" si="5"/>
        <v>1.0526315789473684</v>
      </c>
    </row>
    <row r="18" spans="1:29" ht="15">
      <c r="A18" s="428"/>
      <c r="B18" s="456"/>
      <c r="C18" s="2613" t="s">
        <v>3364</v>
      </c>
      <c r="D18" s="450"/>
      <c r="E18" s="2613" t="s">
        <v>3364</v>
      </c>
      <c r="F18" s="450"/>
      <c r="G18" s="2613" t="s">
        <v>3364</v>
      </c>
      <c r="H18" s="448"/>
      <c r="I18" s="2613" t="s">
        <v>3365</v>
      </c>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82.8">
      <c r="A19" s="428"/>
      <c r="B19" s="451" t="s">
        <v>2687</v>
      </c>
      <c r="C19" s="2669"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221"/>
      <c r="Q19" s="1811" t="str">
        <f>B19</f>
        <v>办公集聚程度</v>
      </c>
      <c r="R19" s="774" t="s">
        <v>17</v>
      </c>
      <c r="S19" s="775">
        <f>F19</f>
        <v>98</v>
      </c>
      <c r="T19" s="774" t="s">
        <v>17</v>
      </c>
      <c r="U19" s="775">
        <f>H19</f>
        <v>98</v>
      </c>
      <c r="V19" s="774" t="s">
        <v>17</v>
      </c>
      <c r="W19" s="775">
        <f>J19</f>
        <v>98</v>
      </c>
      <c r="X19" s="1814"/>
      <c r="Y19" s="3221"/>
      <c r="Z19" s="1815" t="str">
        <f>Q19</f>
        <v>办公集聚程度</v>
      </c>
      <c r="AA19" s="1812">
        <f t="shared" si="3"/>
        <v>1.0204081632653061</v>
      </c>
      <c r="AB19" s="1812">
        <f t="shared" si="4"/>
        <v>1.0204081632653061</v>
      </c>
      <c r="AC19" s="1812">
        <f t="shared" si="5"/>
        <v>1.0204081632653061</v>
      </c>
    </row>
    <row r="20" spans="1:29" ht="15">
      <c r="A20" s="428"/>
      <c r="B20" s="456"/>
      <c r="C20" s="447" t="s">
        <v>3364</v>
      </c>
      <c r="D20" s="448"/>
      <c r="E20" s="2610" t="s">
        <v>3365</v>
      </c>
      <c r="F20" s="448"/>
      <c r="G20" s="2610" t="s">
        <v>3365</v>
      </c>
      <c r="H20" s="448"/>
      <c r="I20" s="2609" t="s">
        <v>3365</v>
      </c>
      <c r="J20" s="448"/>
      <c r="K20" s="672"/>
      <c r="L20" s="1143"/>
      <c r="M20" s="1134"/>
      <c r="N20" s="1134"/>
      <c r="O20" s="1142"/>
      <c r="P20" s="3221"/>
      <c r="Q20" s="1811"/>
      <c r="R20" s="774"/>
      <c r="S20" s="775"/>
      <c r="T20" s="774"/>
      <c r="U20" s="775"/>
      <c r="V20" s="774"/>
      <c r="W20" s="775"/>
      <c r="X20" s="1814"/>
      <c r="Y20" s="3221"/>
      <c r="Z20" s="1815"/>
      <c r="AA20" s="1812">
        <v>1</v>
      </c>
      <c r="AB20" s="1812">
        <v>1</v>
      </c>
      <c r="AC20" s="1812">
        <v>1</v>
      </c>
    </row>
    <row r="21" spans="1:29" ht="96.6">
      <c r="A21" s="428"/>
      <c r="B21" s="451" t="s">
        <v>2709</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21"/>
      <c r="Q21" s="1811" t="str">
        <f>B21</f>
        <v>交通便捷度</v>
      </c>
      <c r="R21" s="774" t="s">
        <v>17</v>
      </c>
      <c r="S21" s="775">
        <f>F21</f>
        <v>100</v>
      </c>
      <c r="T21" s="774" t="s">
        <v>17</v>
      </c>
      <c r="U21" s="775">
        <f>H21</f>
        <v>100</v>
      </c>
      <c r="V21" s="774" t="s">
        <v>17</v>
      </c>
      <c r="W21" s="775">
        <f>J21</f>
        <v>100</v>
      </c>
      <c r="X21" s="1814"/>
      <c r="Y21" s="3221"/>
      <c r="Z21" s="1815" t="str">
        <f>Q21</f>
        <v>交通便捷度</v>
      </c>
      <c r="AA21" s="1812">
        <f t="shared" si="3"/>
        <v>1</v>
      </c>
      <c r="AB21" s="1812">
        <f t="shared" si="4"/>
        <v>1</v>
      </c>
      <c r="AC21" s="1812">
        <f t="shared" si="5"/>
        <v>1</v>
      </c>
    </row>
    <row r="22" spans="1:29" ht="15">
      <c r="A22" s="428"/>
      <c r="B22" s="1387"/>
      <c r="C22" s="447" t="s">
        <v>3364</v>
      </c>
      <c r="D22" s="450"/>
      <c r="E22" s="447" t="s">
        <v>3364</v>
      </c>
      <c r="F22" s="448"/>
      <c r="G22" s="447" t="s">
        <v>3364</v>
      </c>
      <c r="H22" s="448"/>
      <c r="I22" s="447" t="s">
        <v>3364</v>
      </c>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21"/>
      <c r="Q23" s="1811" t="str">
        <f t="shared" ref="Q23:Q37" si="8">B23</f>
        <v>区域土地利用方向</v>
      </c>
      <c r="R23" s="774" t="s">
        <v>17</v>
      </c>
      <c r="S23" s="775">
        <f>F23</f>
        <v>100</v>
      </c>
      <c r="T23" s="774" t="s">
        <v>17</v>
      </c>
      <c r="U23" s="775">
        <f>H23</f>
        <v>100</v>
      </c>
      <c r="V23" s="774" t="s">
        <v>17</v>
      </c>
      <c r="W23" s="775">
        <f>J23</f>
        <v>100</v>
      </c>
      <c r="X23" s="1814"/>
      <c r="Y23" s="3221"/>
      <c r="Z23" s="1815" t="str">
        <f>Q23</f>
        <v>区域土地利用方向</v>
      </c>
      <c r="AA23" s="1812">
        <f t="shared" si="3"/>
        <v>1</v>
      </c>
      <c r="AB23" s="1812">
        <f t="shared" si="4"/>
        <v>1</v>
      </c>
      <c r="AC23" s="1812">
        <f t="shared" si="5"/>
        <v>1</v>
      </c>
    </row>
    <row r="24" spans="1:29" ht="15">
      <c r="A24" s="404"/>
      <c r="B24" s="456"/>
      <c r="C24" s="616" t="s">
        <v>3364</v>
      </c>
      <c r="D24" s="448"/>
      <c r="E24" s="616" t="s">
        <v>3364</v>
      </c>
      <c r="F24" s="448"/>
      <c r="G24" s="616" t="s">
        <v>3364</v>
      </c>
      <c r="H24" s="448"/>
      <c r="I24" s="616" t="s">
        <v>3364</v>
      </c>
      <c r="J24" s="448"/>
      <c r="K24" s="812"/>
      <c r="L24" s="1143"/>
      <c r="M24" s="1134"/>
      <c r="N24" s="1134"/>
      <c r="O24" s="1142"/>
      <c r="P24" s="3221"/>
      <c r="Q24" s="1811"/>
      <c r="R24" s="774"/>
      <c r="S24" s="775"/>
      <c r="T24" s="774"/>
      <c r="U24" s="775"/>
      <c r="V24" s="774"/>
      <c r="W24" s="775"/>
      <c r="X24" s="1814"/>
      <c r="Y24" s="3221"/>
      <c r="Z24" s="1815"/>
      <c r="AA24" s="1812"/>
      <c r="AB24" s="1812"/>
      <c r="AC24" s="1812"/>
    </row>
    <row r="25" spans="1:29" ht="55.2">
      <c r="A25" s="404"/>
      <c r="B25" s="1387" t="s">
        <v>2749</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97</v>
      </c>
      <c r="K25" s="673">
        <v>3</v>
      </c>
      <c r="L25" s="1143"/>
      <c r="M25" s="1134"/>
      <c r="N25" s="1134"/>
      <c r="O25" s="1142"/>
      <c r="P25" s="3221"/>
      <c r="Q25" s="1811" t="str">
        <f t="shared" si="8"/>
        <v>自然及人文环境状况</v>
      </c>
      <c r="R25" s="774" t="s">
        <v>17</v>
      </c>
      <c r="S25" s="775">
        <f>F25</f>
        <v>100</v>
      </c>
      <c r="T25" s="774" t="s">
        <v>17</v>
      </c>
      <c r="U25" s="775">
        <f>H25</f>
        <v>100</v>
      </c>
      <c r="V25" s="774" t="s">
        <v>17</v>
      </c>
      <c r="W25" s="775">
        <f>J25</f>
        <v>97</v>
      </c>
      <c r="X25" s="1814"/>
      <c r="Y25" s="3221"/>
      <c r="Z25" s="1815" t="str">
        <f>Q25</f>
        <v>自然及人文环境状况</v>
      </c>
      <c r="AA25" s="1812">
        <f t="shared" si="3"/>
        <v>1</v>
      </c>
      <c r="AB25" s="1812">
        <f t="shared" si="4"/>
        <v>1</v>
      </c>
      <c r="AC25" s="1812">
        <f t="shared" si="5"/>
        <v>1.0309278350515463</v>
      </c>
    </row>
    <row r="26" spans="1:29" ht="15">
      <c r="A26" s="404"/>
      <c r="B26" s="456"/>
      <c r="C26" s="447" t="s">
        <v>3364</v>
      </c>
      <c r="D26" s="448"/>
      <c r="E26" s="447" t="s">
        <v>3364</v>
      </c>
      <c r="F26" s="448"/>
      <c r="G26" s="447" t="s">
        <v>3364</v>
      </c>
      <c r="H26" s="448"/>
      <c r="I26" s="447" t="s">
        <v>3365</v>
      </c>
      <c r="J26" s="448"/>
      <c r="K26" s="672"/>
      <c r="L26" s="1143"/>
      <c r="M26" s="1134"/>
      <c r="N26" s="1134"/>
      <c r="O26" s="1142"/>
      <c r="P26" s="3221"/>
      <c r="Q26" s="1811"/>
      <c r="R26" s="774"/>
      <c r="S26" s="775"/>
      <c r="T26" s="774"/>
      <c r="U26" s="775"/>
      <c r="V26" s="774"/>
      <c r="W26" s="775"/>
      <c r="X26" s="1814"/>
      <c r="Y26" s="3221"/>
      <c r="Z26" s="1815"/>
      <c r="AA26" s="1812">
        <v>1</v>
      </c>
      <c r="AB26" s="1812">
        <v>1</v>
      </c>
      <c r="AC26" s="1812">
        <v>1</v>
      </c>
    </row>
    <row r="27" spans="1:29" s="117" customFormat="1" ht="41.4">
      <c r="A27" s="649"/>
      <c r="B27" s="1387" t="s">
        <v>2654</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221"/>
      <c r="Q27" s="1796" t="str">
        <f t="shared" si="8"/>
        <v>公共配套设施</v>
      </c>
      <c r="R27" s="770" t="s">
        <v>17</v>
      </c>
      <c r="S27" s="771">
        <f>F27</f>
        <v>100</v>
      </c>
      <c r="T27" s="770" t="s">
        <v>17</v>
      </c>
      <c r="U27" s="771">
        <f>H27</f>
        <v>100</v>
      </c>
      <c r="V27" s="770" t="s">
        <v>17</v>
      </c>
      <c r="W27" s="771">
        <f>J27</f>
        <v>100</v>
      </c>
      <c r="X27" s="772"/>
      <c r="Y27" s="3221"/>
      <c r="Z27" s="55" t="str">
        <f>Q27</f>
        <v>公共配套设施</v>
      </c>
      <c r="AA27" s="1812">
        <f>D27/F27</f>
        <v>1</v>
      </c>
      <c r="AB27" s="1812">
        <f>D27/H27</f>
        <v>1</v>
      </c>
      <c r="AC27" s="1812">
        <f>D27/J27</f>
        <v>1</v>
      </c>
    </row>
    <row r="28" spans="1:29" s="117" customFormat="1" ht="15">
      <c r="A28" s="649"/>
      <c r="B28" s="456"/>
      <c r="C28" s="2705" t="s">
        <v>3364</v>
      </c>
      <c r="D28" s="448"/>
      <c r="E28" s="2705" t="s">
        <v>3364</v>
      </c>
      <c r="F28" s="448"/>
      <c r="G28" s="2705" t="s">
        <v>3364</v>
      </c>
      <c r="H28" s="448"/>
      <c r="I28" s="2705" t="s">
        <v>3364</v>
      </c>
      <c r="J28" s="448"/>
      <c r="K28" s="672"/>
      <c r="L28" s="1135"/>
      <c r="M28" s="1136"/>
      <c r="N28" s="1136"/>
      <c r="O28" s="1137"/>
      <c r="P28" s="3221"/>
      <c r="Q28" s="1796"/>
      <c r="R28" s="770"/>
      <c r="S28" s="771"/>
      <c r="T28" s="770"/>
      <c r="U28" s="771"/>
      <c r="V28" s="770"/>
      <c r="W28" s="771"/>
      <c r="X28" s="772"/>
      <c r="Y28" s="3221"/>
      <c r="Z28" s="55"/>
      <c r="AA28" s="1812">
        <v>1</v>
      </c>
      <c r="AB28" s="1812">
        <v>1</v>
      </c>
      <c r="AC28" s="1812">
        <v>1</v>
      </c>
    </row>
    <row r="29" spans="1:29" s="117" customFormat="1" ht="41.4">
      <c r="A29" s="649"/>
      <c r="B29" s="1387" t="s">
        <v>2655</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1"/>
      <c r="Q29" s="1796"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2">
        <f>D29/F29</f>
        <v>1</v>
      </c>
      <c r="AB29" s="1812">
        <f>D29/H29</f>
        <v>1</v>
      </c>
      <c r="AC29" s="1812">
        <f>D29/J29</f>
        <v>1</v>
      </c>
    </row>
    <row r="30" spans="1:29" s="117" customFormat="1" ht="15">
      <c r="A30" s="649"/>
      <c r="B30" s="456"/>
      <c r="C30" s="2705" t="s">
        <v>3407</v>
      </c>
      <c r="D30" s="448"/>
      <c r="E30" s="2705" t="s">
        <v>3407</v>
      </c>
      <c r="F30" s="448"/>
      <c r="G30" s="2705" t="s">
        <v>3407</v>
      </c>
      <c r="H30" s="448"/>
      <c r="I30" s="2705" t="s">
        <v>3407</v>
      </c>
      <c r="J30" s="448"/>
      <c r="K30" s="672"/>
      <c r="L30" s="1135"/>
      <c r="M30" s="1136"/>
      <c r="N30" s="1136"/>
      <c r="O30" s="1137"/>
      <c r="P30" s="3221"/>
      <c r="Q30" s="1796"/>
      <c r="R30" s="770"/>
      <c r="S30" s="771"/>
      <c r="T30" s="770"/>
      <c r="U30" s="771"/>
      <c r="V30" s="770"/>
      <c r="W30" s="771"/>
      <c r="X30" s="772"/>
      <c r="Y30" s="3221"/>
      <c r="Z30" s="55"/>
      <c r="AA30" s="1812">
        <v>1</v>
      </c>
      <c r="AB30" s="1812">
        <v>1</v>
      </c>
      <c r="AC30" s="1812">
        <v>1</v>
      </c>
    </row>
    <row r="31" spans="1:29" ht="15">
      <c r="A31" s="428"/>
      <c r="B31" s="456" t="s">
        <v>2656</v>
      </c>
      <c r="C31" s="616" t="s">
        <v>3419</v>
      </c>
      <c r="D31" s="435">
        <v>100</v>
      </c>
      <c r="E31" s="634" t="s">
        <v>3420</v>
      </c>
      <c r="F31" s="435">
        <f>SUMIF(104:104,E31,105:105)-SUMIF(104:104,C31,105:105)+100</f>
        <v>99</v>
      </c>
      <c r="G31" s="634" t="s">
        <v>3420</v>
      </c>
      <c r="H31" s="435">
        <f>SUMIF(104:104,G31,105:105)-SUMIF(104:104,C31,105:105)+100</f>
        <v>99</v>
      </c>
      <c r="I31" s="634" t="s">
        <v>3420</v>
      </c>
      <c r="J31" s="435">
        <f>SUMIF(104:104,I31,105:105)-SUMIF(104:104,C31,105:105)+100</f>
        <v>99</v>
      </c>
      <c r="K31" s="673">
        <v>1</v>
      </c>
      <c r="L31" s="1143"/>
      <c r="M31" s="1134"/>
      <c r="N31" s="1134"/>
      <c r="O31" s="1142"/>
      <c r="P31" s="3221"/>
      <c r="Q31" s="1811" t="str">
        <f t="shared" si="8"/>
        <v>临街状况</v>
      </c>
      <c r="R31" s="774" t="s">
        <v>17</v>
      </c>
      <c r="S31" s="775">
        <f t="shared" ref="S31:S45" si="10">F31</f>
        <v>99</v>
      </c>
      <c r="T31" s="774" t="s">
        <v>17</v>
      </c>
      <c r="U31" s="775">
        <f t="shared" ref="U31:U45" si="11">H31</f>
        <v>99</v>
      </c>
      <c r="V31" s="774" t="s">
        <v>17</v>
      </c>
      <c r="W31" s="775">
        <f t="shared" ref="W31:W45" si="12">J31</f>
        <v>99</v>
      </c>
      <c r="X31" s="1814"/>
      <c r="Y31" s="3221"/>
      <c r="Z31" s="1815" t="str">
        <f t="shared" ref="Z31:Z45" si="13">Q31</f>
        <v>临街状况</v>
      </c>
      <c r="AA31" s="1812">
        <f t="shared" si="3"/>
        <v>1.0101010101010102</v>
      </c>
      <c r="AB31" s="1812">
        <f t="shared" si="4"/>
        <v>1.0101010101010102</v>
      </c>
      <c r="AC31" s="1812">
        <f t="shared" si="5"/>
        <v>1.0101010101010102</v>
      </c>
    </row>
    <row r="32" spans="1:29" ht="28.8">
      <c r="A32" s="428"/>
      <c r="B32" s="1387" t="s">
        <v>2691</v>
      </c>
      <c r="C32" s="2965" t="s">
        <v>3418</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21"/>
      <c r="Q32" s="1811" t="str">
        <f t="shared" si="8"/>
        <v>毗邻道路的类型与等级</v>
      </c>
      <c r="R32" s="774" t="s">
        <v>17</v>
      </c>
      <c r="S32" s="775">
        <f t="shared" si="10"/>
        <v>99</v>
      </c>
      <c r="T32" s="774" t="s">
        <v>17</v>
      </c>
      <c r="U32" s="775">
        <f t="shared" si="11"/>
        <v>99</v>
      </c>
      <c r="V32" s="774" t="s">
        <v>17</v>
      </c>
      <c r="W32" s="775">
        <f t="shared" si="12"/>
        <v>99</v>
      </c>
      <c r="X32" s="1814"/>
      <c r="Y32" s="3221"/>
      <c r="Z32" s="1815" t="str">
        <f t="shared" si="13"/>
        <v>毗邻道路的类型与等级</v>
      </c>
      <c r="AA32" s="1812">
        <f t="shared" si="3"/>
        <v>1.0101010101010102</v>
      </c>
      <c r="AB32" s="1812">
        <f t="shared" si="4"/>
        <v>1.0101010101010102</v>
      </c>
      <c r="AC32" s="1812">
        <f t="shared" si="5"/>
        <v>1.0101010101010102</v>
      </c>
    </row>
    <row r="33" spans="1:29" ht="15.6" thickBot="1">
      <c r="A33" s="428"/>
      <c r="B33" s="456"/>
      <c r="C33" s="447" t="s">
        <v>3388</v>
      </c>
      <c r="D33" s="448"/>
      <c r="E33" s="2616" t="s">
        <v>3390</v>
      </c>
      <c r="F33" s="448"/>
      <c r="G33" s="2616" t="s">
        <v>3390</v>
      </c>
      <c r="H33" s="448"/>
      <c r="I33" s="2616" t="s">
        <v>3390</v>
      </c>
      <c r="J33" s="448"/>
      <c r="K33" s="613"/>
      <c r="L33" s="1143"/>
      <c r="M33" s="1134"/>
      <c r="N33" s="1134"/>
      <c r="O33" s="1142"/>
      <c r="P33" s="3221"/>
      <c r="Q33" s="1811"/>
      <c r="R33" s="774"/>
      <c r="S33" s="775"/>
      <c r="T33" s="774"/>
      <c r="U33" s="775"/>
      <c r="V33" s="774"/>
      <c r="W33" s="775"/>
      <c r="X33" s="1814"/>
      <c r="Y33" s="3221"/>
      <c r="Z33" s="1815"/>
      <c r="AA33" s="1812">
        <v>1</v>
      </c>
      <c r="AB33" s="1812">
        <v>1</v>
      </c>
      <c r="AC33" s="1812">
        <v>1</v>
      </c>
    </row>
    <row r="34" spans="1:29" ht="15.6" hidden="1" thickBot="1">
      <c r="A34" s="428"/>
      <c r="B34" s="422" t="s">
        <v>2750</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3"/>
      <c r="M34" s="1134"/>
      <c r="N34" s="1134"/>
      <c r="O34" s="1142"/>
      <c r="P34" s="3221"/>
      <c r="Q34" s="1811" t="str">
        <f t="shared" si="8"/>
        <v>土地级别</v>
      </c>
      <c r="R34" s="774" t="s">
        <v>17</v>
      </c>
      <c r="S34" s="775">
        <f t="shared" si="10"/>
        <v>100</v>
      </c>
      <c r="T34" s="774" t="s">
        <v>17</v>
      </c>
      <c r="U34" s="775">
        <f t="shared" si="11"/>
        <v>100</v>
      </c>
      <c r="V34" s="774" t="s">
        <v>17</v>
      </c>
      <c r="W34" s="775">
        <f t="shared" si="12"/>
        <v>100</v>
      </c>
      <c r="X34" s="1814"/>
      <c r="Y34" s="3221"/>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1">
        <f t="shared" si="8"/>
        <v>111</v>
      </c>
      <c r="R35" s="774" t="s">
        <v>17</v>
      </c>
      <c r="S35" s="775">
        <f t="shared" si="10"/>
        <v>100</v>
      </c>
      <c r="T35" s="774" t="s">
        <v>17</v>
      </c>
      <c r="U35" s="775">
        <f t="shared" si="11"/>
        <v>100</v>
      </c>
      <c r="V35" s="774" t="s">
        <v>17</v>
      </c>
      <c r="W35" s="775">
        <f t="shared" si="12"/>
        <v>100</v>
      </c>
      <c r="X35" s="1814"/>
      <c r="Y35" s="3221"/>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4" t="s">
        <v>2565</v>
      </c>
      <c r="Q36" s="1811">
        <f t="shared" si="8"/>
        <v>111</v>
      </c>
      <c r="R36" s="774" t="s">
        <v>17</v>
      </c>
      <c r="S36" s="775">
        <f t="shared" si="10"/>
        <v>100</v>
      </c>
      <c r="T36" s="774" t="s">
        <v>17</v>
      </c>
      <c r="U36" s="775">
        <f t="shared" si="11"/>
        <v>100</v>
      </c>
      <c r="V36" s="774" t="s">
        <v>17</v>
      </c>
      <c r="W36" s="775">
        <f t="shared" si="12"/>
        <v>100</v>
      </c>
      <c r="X36" s="1814"/>
      <c r="Y36" s="3225" t="s">
        <v>2565</v>
      </c>
      <c r="Z36" s="1815">
        <f t="shared" si="13"/>
        <v>111</v>
      </c>
      <c r="AA36" s="1812">
        <f t="shared" si="3"/>
        <v>1</v>
      </c>
      <c r="AB36" s="1812">
        <f t="shared" si="4"/>
        <v>1</v>
      </c>
      <c r="AC36" s="1812">
        <f t="shared" si="5"/>
        <v>1</v>
      </c>
    </row>
    <row r="37" spans="1:29" s="471" customFormat="1" ht="15.6"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1">
        <f t="shared" si="8"/>
        <v>111</v>
      </c>
      <c r="R37" s="777" t="s">
        <v>17</v>
      </c>
      <c r="S37" s="778">
        <f t="shared" si="10"/>
        <v>100</v>
      </c>
      <c r="T37" s="777" t="s">
        <v>17</v>
      </c>
      <c r="U37" s="778">
        <f t="shared" si="11"/>
        <v>100</v>
      </c>
      <c r="V37" s="777" t="s">
        <v>17</v>
      </c>
      <c r="W37" s="778">
        <f t="shared" si="12"/>
        <v>100</v>
      </c>
      <c r="X37" s="779"/>
      <c r="Y37" s="3225"/>
      <c r="Z37" s="780">
        <f t="shared" si="13"/>
        <v>111</v>
      </c>
      <c r="AA37" s="1812">
        <f t="shared" si="3"/>
        <v>1</v>
      </c>
      <c r="AB37" s="1812">
        <f t="shared" si="4"/>
        <v>1</v>
      </c>
      <c r="AC37" s="1812">
        <f t="shared" si="5"/>
        <v>1</v>
      </c>
    </row>
    <row r="38" spans="1:29" ht="15.6">
      <c r="A38" s="472" t="s">
        <v>2563</v>
      </c>
      <c r="B38" s="456" t="s">
        <v>2751</v>
      </c>
      <c r="C38" s="679">
        <f>'数据-汇总表'!D3</f>
        <v>3794.16</v>
      </c>
      <c r="D38" s="467">
        <v>100</v>
      </c>
      <c r="E38" s="679">
        <f>土地案例!J22</f>
        <v>3330</v>
      </c>
      <c r="F38" s="467">
        <f>LOOKUP(E38,117:117,118:118)-LOOKUP(C38,117:117,118:118)+100</f>
        <v>100</v>
      </c>
      <c r="G38" s="679">
        <f>土地案例!J23</f>
        <v>1331.42</v>
      </c>
      <c r="H38" s="467">
        <f>LOOKUP(G38,117:117,118:118)-LOOKUP(C38,117:117,118:118)+100</f>
        <v>100</v>
      </c>
      <c r="I38" s="530">
        <f>土地案例!J26</f>
        <v>10506.36</v>
      </c>
      <c r="J38" s="2966">
        <f>LOOKUP(I38,117:117,118:118)-LOOKUP(C38,117:117,118:118)+100</f>
        <v>101</v>
      </c>
      <c r="K38" s="613"/>
      <c r="L38" s="1143"/>
      <c r="M38" s="1134"/>
      <c r="N38" s="1134"/>
      <c r="O38" s="1142"/>
      <c r="P38" s="3225"/>
      <c r="Q38" s="1811" t="str">
        <f>B38</f>
        <v>宗地面积</v>
      </c>
      <c r="R38" s="774" t="s">
        <v>17</v>
      </c>
      <c r="S38" s="775">
        <f t="shared" si="10"/>
        <v>100</v>
      </c>
      <c r="T38" s="774" t="s">
        <v>17</v>
      </c>
      <c r="U38" s="775">
        <f t="shared" si="11"/>
        <v>100</v>
      </c>
      <c r="V38" s="774" t="s">
        <v>17</v>
      </c>
      <c r="W38" s="775">
        <f t="shared" si="12"/>
        <v>101</v>
      </c>
      <c r="X38" s="1814"/>
      <c r="Y38" s="3225"/>
      <c r="Z38" s="1815" t="str">
        <f t="shared" si="13"/>
        <v>宗地面积</v>
      </c>
      <c r="AA38" s="1812">
        <f t="shared" si="3"/>
        <v>1</v>
      </c>
      <c r="AB38" s="1812">
        <f t="shared" si="4"/>
        <v>1</v>
      </c>
      <c r="AC38" s="1812">
        <f t="shared" si="5"/>
        <v>0.99009900990099009</v>
      </c>
    </row>
    <row r="39" spans="1:29" ht="15">
      <c r="A39" s="472"/>
      <c r="B39" s="422" t="s">
        <v>2752</v>
      </c>
      <c r="C39" s="2618" t="s">
        <v>3397</v>
      </c>
      <c r="D39" s="435">
        <v>100</v>
      </c>
      <c r="E39" s="2618" t="s">
        <v>3397</v>
      </c>
      <c r="F39" s="435">
        <f>SUMIF(119:119,E39,120:120)-SUMIF(119:119,C39,120:120)+100</f>
        <v>100</v>
      </c>
      <c r="G39" s="2618" t="s">
        <v>3397</v>
      </c>
      <c r="H39" s="435">
        <f>SUMIF(119:119,G39,120:120)-SUMIF(119:119,C39,120:120)+100</f>
        <v>100</v>
      </c>
      <c r="I39" s="2618" t="s">
        <v>3397</v>
      </c>
      <c r="J39" s="435">
        <f>SUMIF(119:119,I39,120:120)-SUMIF(119:119,C39,120:120)+100</f>
        <v>100</v>
      </c>
      <c r="K39" s="612">
        <v>1</v>
      </c>
      <c r="L39" s="1143"/>
      <c r="M39" s="1134"/>
      <c r="N39" s="1134"/>
      <c r="O39" s="1142"/>
      <c r="P39" s="3225"/>
      <c r="Q39" s="1811" t="str">
        <f t="shared" ref="Q39:Q45" si="14">B39</f>
        <v>宗地形状</v>
      </c>
      <c r="R39" s="774" t="s">
        <v>17</v>
      </c>
      <c r="S39" s="775">
        <f t="shared" si="10"/>
        <v>100</v>
      </c>
      <c r="T39" s="774" t="s">
        <v>17</v>
      </c>
      <c r="U39" s="775">
        <f t="shared" si="11"/>
        <v>100</v>
      </c>
      <c r="V39" s="774" t="s">
        <v>17</v>
      </c>
      <c r="W39" s="775">
        <f t="shared" si="12"/>
        <v>100</v>
      </c>
      <c r="X39" s="1814"/>
      <c r="Y39" s="3225"/>
      <c r="Z39" s="1815" t="str">
        <f t="shared" si="13"/>
        <v>宗地形状</v>
      </c>
      <c r="AA39" s="1812">
        <f t="shared" si="3"/>
        <v>1</v>
      </c>
      <c r="AB39" s="1812">
        <f t="shared" si="4"/>
        <v>1</v>
      </c>
      <c r="AC39" s="1812">
        <f t="shared" si="5"/>
        <v>1</v>
      </c>
    </row>
    <row r="40" spans="1:29" ht="15">
      <c r="A40" s="472"/>
      <c r="B40" s="422" t="s">
        <v>2753</v>
      </c>
      <c r="C40" s="2618" t="s">
        <v>3402</v>
      </c>
      <c r="D40" s="435">
        <v>100</v>
      </c>
      <c r="E40" s="2618" t="s">
        <v>3402</v>
      </c>
      <c r="F40" s="435">
        <f>SUMIF(121:121,E40,122:122)-SUMIF(121:121,C40,122:122)+100</f>
        <v>100</v>
      </c>
      <c r="G40" s="2618" t="s">
        <v>3402</v>
      </c>
      <c r="H40" s="435">
        <f>SUMIF(121:121,G40,122:122)-SUMIF(121:121,C40,122:122)+100</f>
        <v>100</v>
      </c>
      <c r="I40" s="2618" t="s">
        <v>3402</v>
      </c>
      <c r="J40" s="435">
        <f>SUMIF(121:121,I40,122:122)-SUMIF(121:121,C40,122:122)+100</f>
        <v>100</v>
      </c>
      <c r="K40" s="612">
        <v>1</v>
      </c>
      <c r="L40" s="1143"/>
      <c r="M40" s="1134"/>
      <c r="N40" s="1134"/>
      <c r="O40" s="1142"/>
      <c r="P40" s="3225"/>
      <c r="Q40" s="1811" t="str">
        <f t="shared" si="14"/>
        <v>临街宽度及深度</v>
      </c>
      <c r="R40" s="774" t="s">
        <v>17</v>
      </c>
      <c r="S40" s="775">
        <f t="shared" si="10"/>
        <v>100</v>
      </c>
      <c r="T40" s="774" t="s">
        <v>17</v>
      </c>
      <c r="U40" s="775">
        <f t="shared" si="11"/>
        <v>100</v>
      </c>
      <c r="V40" s="774" t="s">
        <v>17</v>
      </c>
      <c r="W40" s="775">
        <f t="shared" si="12"/>
        <v>100</v>
      </c>
      <c r="X40" s="1814"/>
      <c r="Y40" s="3225"/>
      <c r="Z40" s="1815" t="str">
        <f t="shared" si="13"/>
        <v>临街宽度及深度</v>
      </c>
      <c r="AA40" s="1812">
        <f t="shared" si="3"/>
        <v>1</v>
      </c>
      <c r="AB40" s="1812">
        <f t="shared" si="4"/>
        <v>1</v>
      </c>
      <c r="AC40" s="1812">
        <f t="shared" si="5"/>
        <v>1</v>
      </c>
    </row>
    <row r="41" spans="1:29" s="117" customFormat="1" ht="15">
      <c r="A41" s="473"/>
      <c r="B41" s="422" t="s">
        <v>2754</v>
      </c>
      <c r="C41" s="2707" t="s">
        <v>3409</v>
      </c>
      <c r="D41" s="136">
        <v>100</v>
      </c>
      <c r="E41" s="2707" t="s">
        <v>3409</v>
      </c>
      <c r="F41" s="435">
        <f>SUMIF(123:123,E41,124:124)-SUMIF(123:123,C41,124:124)+100</f>
        <v>100</v>
      </c>
      <c r="G41" s="2707" t="s">
        <v>3409</v>
      </c>
      <c r="H41" s="435">
        <f>SUMIF(123:123,G41,124:124)-SUMIF(123:123,C41,124:124)+100</f>
        <v>100</v>
      </c>
      <c r="I41" s="2707" t="s">
        <v>3409</v>
      </c>
      <c r="J41" s="435">
        <f>SUMIF(123:123,I41,124:124)-SUMIF(123:123,C41,124:124)+100</f>
        <v>100</v>
      </c>
      <c r="K41" s="612">
        <v>1</v>
      </c>
      <c r="L41" s="1135"/>
      <c r="M41" s="1136"/>
      <c r="N41" s="1136"/>
      <c r="O41" s="1137"/>
      <c r="P41" s="3225"/>
      <c r="Q41" s="1811"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6" thickBot="1">
      <c r="A42" s="472"/>
      <c r="B42" s="422" t="s">
        <v>2755</v>
      </c>
      <c r="C42" s="2618" t="s">
        <v>3364</v>
      </c>
      <c r="D42" s="435">
        <v>100</v>
      </c>
      <c r="E42" s="2618" t="s">
        <v>3364</v>
      </c>
      <c r="F42" s="435">
        <f>SUMIF(125:125,E42,126:126)-SUMIF(125:125,C42,126:126)+100</f>
        <v>100</v>
      </c>
      <c r="G42" s="2618" t="s">
        <v>3364</v>
      </c>
      <c r="H42" s="435">
        <f>SUMIF(125:125,G42,126:126)-SUMIF(125:125,C42,126:126)+100</f>
        <v>100</v>
      </c>
      <c r="I42" s="2618" t="s">
        <v>3364</v>
      </c>
      <c r="J42" s="435">
        <f>SUMIF(125:125,I42,126:126)-SUMIF(125:125,C42,126:126)+100</f>
        <v>100</v>
      </c>
      <c r="K42" s="612">
        <v>1</v>
      </c>
      <c r="L42" s="1143"/>
      <c r="M42" s="1134"/>
      <c r="N42" s="1134"/>
      <c r="O42" s="1142"/>
      <c r="P42" s="3225" t="s">
        <v>2565</v>
      </c>
      <c r="Q42" s="1811" t="str">
        <f t="shared" si="14"/>
        <v>工程地质条件</v>
      </c>
      <c r="R42" s="774" t="s">
        <v>17</v>
      </c>
      <c r="S42" s="775">
        <f t="shared" si="10"/>
        <v>100</v>
      </c>
      <c r="T42" s="774" t="s">
        <v>17</v>
      </c>
      <c r="U42" s="775">
        <f t="shared" si="11"/>
        <v>100</v>
      </c>
      <c r="V42" s="774" t="s">
        <v>17</v>
      </c>
      <c r="W42" s="775">
        <f t="shared" si="12"/>
        <v>100</v>
      </c>
      <c r="X42" s="1814"/>
      <c r="Y42" s="3225" t="s">
        <v>2565</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1">
        <f t="shared" si="14"/>
        <v>111</v>
      </c>
      <c r="R43" s="774" t="s">
        <v>17</v>
      </c>
      <c r="S43" s="775">
        <f t="shared" si="10"/>
        <v>100</v>
      </c>
      <c r="T43" s="774" t="s">
        <v>17</v>
      </c>
      <c r="U43" s="775">
        <f t="shared" si="11"/>
        <v>100</v>
      </c>
      <c r="V43" s="774" t="s">
        <v>17</v>
      </c>
      <c r="W43" s="775">
        <f t="shared" si="12"/>
        <v>100</v>
      </c>
      <c r="X43" s="1814"/>
      <c r="Y43" s="3225"/>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1">
        <f t="shared" si="14"/>
        <v>111</v>
      </c>
      <c r="R44" s="774" t="s">
        <v>17</v>
      </c>
      <c r="S44" s="775">
        <f t="shared" si="10"/>
        <v>100</v>
      </c>
      <c r="T44" s="774" t="s">
        <v>17</v>
      </c>
      <c r="U44" s="775">
        <f t="shared" si="11"/>
        <v>100</v>
      </c>
      <c r="V44" s="774" t="s">
        <v>17</v>
      </c>
      <c r="W44" s="775">
        <f t="shared" si="12"/>
        <v>100</v>
      </c>
      <c r="X44" s="1814"/>
      <c r="Y44" s="3225"/>
      <c r="Z44" s="1815">
        <f t="shared" si="13"/>
        <v>111</v>
      </c>
      <c r="AA44" s="1812">
        <f t="shared" si="3"/>
        <v>1</v>
      </c>
      <c r="AB44" s="1812">
        <f t="shared" si="4"/>
        <v>1</v>
      </c>
      <c r="AC44" s="1812">
        <f t="shared" si="5"/>
        <v>1</v>
      </c>
    </row>
    <row r="45" spans="1:29" s="471" customFormat="1" ht="15.6"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1">
        <f t="shared" si="14"/>
        <v>111</v>
      </c>
      <c r="R45" s="777" t="s">
        <v>17</v>
      </c>
      <c r="S45" s="778">
        <f t="shared" si="10"/>
        <v>100</v>
      </c>
      <c r="T45" s="777" t="s">
        <v>17</v>
      </c>
      <c r="U45" s="778">
        <f t="shared" si="11"/>
        <v>100</v>
      </c>
      <c r="V45" s="777" t="s">
        <v>17</v>
      </c>
      <c r="W45" s="778">
        <f t="shared" si="12"/>
        <v>100</v>
      </c>
      <c r="X45" s="779"/>
      <c r="Y45" s="3225"/>
      <c r="Z45" s="780">
        <f t="shared" si="13"/>
        <v>111</v>
      </c>
      <c r="AA45" s="1812">
        <f t="shared" si="3"/>
        <v>1</v>
      </c>
      <c r="AB45" s="1812">
        <f t="shared" si="4"/>
        <v>1</v>
      </c>
      <c r="AC45" s="1812">
        <f t="shared" si="5"/>
        <v>1</v>
      </c>
    </row>
    <row r="46" spans="1:29" ht="14.4">
      <c r="A46" s="479" t="s">
        <v>2720</v>
      </c>
      <c r="B46" s="2709" t="s">
        <v>2756</v>
      </c>
      <c r="C46" s="682" t="s">
        <v>1</v>
      </c>
      <c r="D46" s="481"/>
      <c r="E46" s="482">
        <f>土地案例!AK22</f>
        <v>3385</v>
      </c>
      <c r="F46" s="483"/>
      <c r="G46" s="484">
        <f>土地案例!AK23</f>
        <v>3600.4</v>
      </c>
      <c r="H46" s="485"/>
      <c r="I46" s="482">
        <f>土地案例!AK26</f>
        <v>2775.5</v>
      </c>
      <c r="J46" s="485"/>
      <c r="K46" s="783"/>
      <c r="L46" s="1146"/>
      <c r="M46" s="1147"/>
      <c r="N46" s="1134"/>
      <c r="O46" s="1147"/>
      <c r="P46" s="3218" t="str">
        <f>A46</f>
        <v>成交单价</v>
      </c>
      <c r="Q46" s="3218"/>
      <c r="R46" s="3213">
        <f>E46</f>
        <v>3385</v>
      </c>
      <c r="S46" s="3213"/>
      <c r="T46" s="3213">
        <f>G46</f>
        <v>3600.4</v>
      </c>
      <c r="U46" s="3213"/>
      <c r="V46" s="3213">
        <f>I46</f>
        <v>2775.5</v>
      </c>
      <c r="W46" s="3213"/>
      <c r="X46" s="759"/>
      <c r="Y46" s="781"/>
      <c r="Z46" s="759"/>
      <c r="AA46" s="759"/>
      <c r="AB46" s="759"/>
      <c r="AC46" s="759"/>
    </row>
    <row r="47" spans="1:29" ht="15" thickBot="1">
      <c r="A47" s="486" t="s">
        <v>2669</v>
      </c>
      <c r="B47" s="683"/>
      <c r="C47" s="490">
        <f>R48</f>
        <v>3365</v>
      </c>
      <c r="D47" s="489"/>
      <c r="E47" s="490">
        <f>R47</f>
        <v>3412</v>
      </c>
      <c r="F47" s="491"/>
      <c r="G47" s="488">
        <f>T47</f>
        <v>3629</v>
      </c>
      <c r="H47" s="489"/>
      <c r="I47" s="490">
        <f>V47</f>
        <v>3054</v>
      </c>
      <c r="J47" s="489"/>
      <c r="K47" s="784"/>
      <c r="L47" s="1146"/>
      <c r="M47" s="1147"/>
      <c r="N47" s="1147"/>
      <c r="O47" s="1147"/>
      <c r="P47" s="3218" t="str">
        <f>A47</f>
        <v>比较价值（元/平方米）</v>
      </c>
      <c r="Q47" s="3218"/>
      <c r="R47" s="3245">
        <f>ROUND(PRODUCT(R46,AA7:AA45),0)</f>
        <v>3412</v>
      </c>
      <c r="S47" s="3245"/>
      <c r="T47" s="3245">
        <f>ROUND(PRODUCT(T46,AB7:AB45),0)</f>
        <v>3629</v>
      </c>
      <c r="U47" s="3245"/>
      <c r="V47" s="3245">
        <f>ROUND(PRODUCT(V46,AC7:AC45),0)</f>
        <v>3054</v>
      </c>
      <c r="W47" s="3245"/>
      <c r="X47" s="759"/>
      <c r="Y47" s="759"/>
      <c r="Z47" s="759"/>
      <c r="AA47" s="759"/>
      <c r="AB47" s="759"/>
      <c r="AC47" s="759"/>
    </row>
    <row r="48" spans="1:29" ht="15" thickBot="1">
      <c r="A48" s="492" t="s">
        <v>2757</v>
      </c>
      <c r="B48" s="493"/>
      <c r="C48" s="494">
        <f>R48</f>
        <v>3365</v>
      </c>
      <c r="D48" s="494"/>
      <c r="E48" s="494"/>
      <c r="F48" s="494"/>
      <c r="G48" s="494"/>
      <c r="H48" s="494"/>
      <c r="I48" s="494"/>
      <c r="J48" s="494"/>
      <c r="K48" s="785"/>
      <c r="L48" s="1146"/>
      <c r="M48" s="1147"/>
      <c r="N48" s="1147"/>
      <c r="O48" s="1147"/>
      <c r="P48" s="3215" t="str">
        <f>A48</f>
        <v>估价对象XX用房的比较价值（楼面单价，元/平方米）</v>
      </c>
      <c r="Q48" s="3216"/>
      <c r="R48" s="3246">
        <f>ROUND(AVERAGE(R47:V47),0)</f>
        <v>3365</v>
      </c>
      <c r="S48" s="3246"/>
      <c r="T48" s="3246"/>
      <c r="U48" s="3246"/>
      <c r="V48" s="3246"/>
      <c r="W48" s="324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7.976366322008932E-3</v>
      </c>
      <c r="F51" s="500" t="str">
        <f>IF(OR(E51&gt;=0.3,E51&lt;=-0.3),"超过30%","")</f>
        <v/>
      </c>
      <c r="G51" s="499">
        <f>IF(G46&lt;G47,G47/G46-1,G46/G47-1)</f>
        <v>7.9435618264636076E-3</v>
      </c>
      <c r="H51" s="500" t="str">
        <f>IF(OR(G51&gt;=0.3,G51&lt;=-0.3),"超过30%","")</f>
        <v/>
      </c>
      <c r="I51" s="499">
        <f>IF(I46&lt;I47,I47/I46-1,I46/I47-1)</f>
        <v>0.1003422806701495</v>
      </c>
      <c r="J51" s="500" t="str">
        <f>IF(OR(I51&gt;=0.3,I51&lt;=-0.3),"超过30%","")</f>
        <v/>
      </c>
      <c r="K51" s="1108"/>
      <c r="L51" s="1109"/>
      <c r="M51" s="1147"/>
      <c r="N51" s="1147"/>
      <c r="O51" s="1147"/>
    </row>
    <row r="52" spans="1:15" ht="13.5" customHeight="1">
      <c r="A52" s="1147"/>
      <c r="B52" s="1147"/>
      <c r="C52" s="497" t="s">
        <v>2672</v>
      </c>
      <c r="D52" s="501"/>
      <c r="E52" s="499">
        <f>IF(E47&lt;G47,G47/E47-1,E47/G47-1)</f>
        <v>6.3599062133645967E-2</v>
      </c>
      <c r="F52" s="500" t="str">
        <f>IF(OR(E52&gt;=0.2,E52&lt;=-0.2),"超过20%","")</f>
        <v/>
      </c>
      <c r="G52" s="499">
        <f>IF(G47&lt;I47,I47/G47-1,G47/I47-1)</f>
        <v>0.18827766863130324</v>
      </c>
      <c r="H52" s="500" t="str">
        <f>IF(OR(G52&gt;=0.2,G52&lt;=-0.2),"超过20%","")</f>
        <v/>
      </c>
      <c r="I52" s="499">
        <f>IF(I47&lt;E47,E47/I47-1,I47/E47-1)</f>
        <v>0.11722331368696781</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6.3633677991137505E-2</v>
      </c>
      <c r="F53" s="500" t="str">
        <f>IF(OR(E53&gt;=0.3,E53&lt;=-0.3),"超过30%","")</f>
        <v/>
      </c>
      <c r="G53" s="499">
        <f>IF(G46&lt;I46,I46/G46-1,G46/I46-1)</f>
        <v>0.2972077103224644</v>
      </c>
      <c r="H53" s="500" t="str">
        <f>IF(OR(G53&gt;=0.3,G53&lt;=-0.3),"超过30%","")</f>
        <v/>
      </c>
      <c r="I53" s="499">
        <f>IF(I46&lt;E46,E46/I46-1,I46/E46-1)</f>
        <v>0.21960007205908849</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2760</v>
      </c>
      <c r="D55" s="2711" t="s">
        <v>2761</v>
      </c>
      <c r="E55" s="686" t="s">
        <v>2762</v>
      </c>
      <c r="F55" s="1110" t="s">
        <v>2763</v>
      </c>
      <c r="G55" s="3201" t="s">
        <v>2764</v>
      </c>
      <c r="H55" s="3247"/>
      <c r="I55" s="144" t="s">
        <v>2765</v>
      </c>
      <c r="J55" s="2712" t="str">
        <f>项目基本情况!F35</f>
        <v xml:space="preserve"> 海南省海口市</v>
      </c>
      <c r="K55" s="2713" t="s">
        <v>2766</v>
      </c>
      <c r="L55" s="1109"/>
      <c r="M55" s="1147"/>
      <c r="N55" s="1147"/>
      <c r="O55" s="1147"/>
    </row>
    <row r="56" spans="1:15" s="692" customFormat="1">
      <c r="A56" s="688" t="s">
        <v>2767</v>
      </c>
      <c r="B56" s="689">
        <f>C48</f>
        <v>3365</v>
      </c>
      <c r="C56" s="690">
        <v>1</v>
      </c>
      <c r="D56" s="1166">
        <v>1</v>
      </c>
      <c r="E56" s="690">
        <f>'数据-汇总表'!E8+'数据-汇总表'!E9</f>
        <v>95571.22</v>
      </c>
      <c r="F56" s="1106">
        <f t="shared" ref="F56:F65" si="15">ROUND(B56*E56/10000,0)</f>
        <v>32160</v>
      </c>
      <c r="G56" s="3200"/>
      <c r="H56" s="3218"/>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48"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48"/>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48"/>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48"/>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4.4"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1026</v>
      </c>
      <c r="E66" s="696">
        <f>IF(B46="楼面地价",SUM(E56:E65),'数据-汇总表'!D3)</f>
        <v>95571.22</v>
      </c>
      <c r="F66" s="697">
        <f>IF(B46="楼面地价",SUM(F56:F65),ROUND(C48*E66/10000,0))</f>
        <v>32160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6" t="s">
        <v>2782</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2957" t="s">
        <v>3362</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0（含）-5</v>
      </c>
      <c r="D79" s="547" t="str">
        <f t="shared" ref="D79:L79" si="21">D80&amp;"（含）"&amp;"-"&amp;E80</f>
        <v>5（含）-10</v>
      </c>
      <c r="E79" s="547" t="str">
        <f t="shared" si="21"/>
        <v>10（含）-15</v>
      </c>
      <c r="F79" s="547" t="str">
        <f t="shared" si="21"/>
        <v>15（含）-20</v>
      </c>
      <c r="G79" s="547" t="str">
        <f t="shared" si="21"/>
        <v>20（含）-25</v>
      </c>
      <c r="H79" s="547" t="str">
        <f t="shared" si="21"/>
        <v>25（含）-30</v>
      </c>
      <c r="I79" s="547" t="str">
        <f t="shared" si="21"/>
        <v>30（含）-</v>
      </c>
      <c r="J79" s="547" t="str">
        <f t="shared" si="21"/>
        <v>（含）-</v>
      </c>
      <c r="K79" s="547" t="str">
        <f t="shared" si="21"/>
        <v>（含）-</v>
      </c>
      <c r="L79" s="547" t="str">
        <f t="shared" si="21"/>
        <v>（含）-</v>
      </c>
      <c r="M79" s="448" t="str">
        <f>M80&amp;"（含）"&amp;"-"&amp;P80</f>
        <v>（含）-</v>
      </c>
      <c r="N79" s="1156"/>
      <c r="O79" s="1156"/>
      <c r="P79" s="45"/>
      <c r="Q79" s="504"/>
    </row>
    <row r="80" spans="1:17">
      <c r="A80" s="534"/>
      <c r="B80" s="548"/>
      <c r="C80" s="549">
        <v>0</v>
      </c>
      <c r="D80" s="549">
        <v>5</v>
      </c>
      <c r="E80" s="549">
        <v>10</v>
      </c>
      <c r="F80" s="549">
        <v>15</v>
      </c>
      <c r="G80" s="549">
        <v>20</v>
      </c>
      <c r="H80" s="549">
        <v>25</v>
      </c>
      <c r="I80" s="549">
        <v>30</v>
      </c>
      <c r="J80" s="549"/>
      <c r="K80" s="550"/>
      <c r="L80" s="551"/>
      <c r="M80" s="552"/>
      <c r="N80" s="1155"/>
      <c r="O80" s="1155"/>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2784</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9.4" thickTop="1">
      <c r="A98" s="579"/>
      <c r="B98" s="538" t="s">
        <v>2785</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9.4" thickTop="1">
      <c r="A106" s="534"/>
      <c r="B106" s="538" t="s">
        <v>2691</v>
      </c>
      <c r="C106" s="2963" t="s">
        <v>3386</v>
      </c>
      <c r="D106" s="2963" t="s">
        <v>3387</v>
      </c>
      <c r="E106" s="2963" t="s">
        <v>3389</v>
      </c>
      <c r="F106" s="2963" t="s">
        <v>3391</v>
      </c>
      <c r="G106" s="2963" t="s">
        <v>3392</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 thickTop="1">
      <c r="A108" s="534"/>
      <c r="B108" s="538" t="s">
        <v>2750</v>
      </c>
      <c r="C108" s="2964" t="s">
        <v>3393</v>
      </c>
      <c r="D108" s="2964" t="s">
        <v>3394</v>
      </c>
      <c r="E108" s="2964" t="s">
        <v>3395</v>
      </c>
      <c r="F108" s="2964" t="s">
        <v>3396</v>
      </c>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2563</v>
      </c>
      <c r="B116" s="528" t="s">
        <v>2790</v>
      </c>
      <c r="C116" s="529" t="str">
        <f>C117&amp;"(含)"&amp;"-"&amp;D117</f>
        <v>0(含)-5000</v>
      </c>
      <c r="D116" s="529" t="str">
        <f t="shared" ref="D116:M116" si="26">D117&amp;"(含)"&amp;"-"&amp;E117</f>
        <v>5000(含)-10000</v>
      </c>
      <c r="E116" s="529" t="str">
        <f t="shared" si="26"/>
        <v>10000(含)-15000</v>
      </c>
      <c r="F116" s="529" t="str">
        <f t="shared" si="26"/>
        <v>15000(含)-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4.4" thickBot="1">
      <c r="A118" s="534"/>
      <c r="B118" s="543"/>
      <c r="C118" s="570">
        <v>100</v>
      </c>
      <c r="D118" s="591">
        <v>100.5</v>
      </c>
      <c r="E118" s="591">
        <v>101</v>
      </c>
      <c r="F118" s="591">
        <v>101.5</v>
      </c>
      <c r="G118" s="591"/>
      <c r="H118" s="591"/>
      <c r="I118" s="591"/>
      <c r="J118" s="591"/>
      <c r="K118" s="591"/>
      <c r="L118" s="591"/>
      <c r="M118" s="592"/>
      <c r="N118" s="1156"/>
      <c r="O118" s="1156"/>
      <c r="P118" s="45"/>
      <c r="Q118" s="504"/>
    </row>
    <row r="119" spans="1:17" ht="15" thickTop="1">
      <c r="A119" s="599"/>
      <c r="B119" s="538" t="s">
        <v>2791</v>
      </c>
      <c r="C119" s="2964" t="s">
        <v>3405</v>
      </c>
      <c r="D119" s="2964" t="s">
        <v>3398</v>
      </c>
      <c r="E119" s="2964" t="s">
        <v>3399</v>
      </c>
      <c r="F119" s="2964" t="s">
        <v>3400</v>
      </c>
      <c r="G119" s="583"/>
      <c r="H119" s="583"/>
      <c r="I119" s="583"/>
      <c r="J119" s="583"/>
      <c r="K119" s="584"/>
      <c r="L119" s="585"/>
      <c r="M119" s="586"/>
      <c r="N119" s="1155"/>
      <c r="O119" s="1155"/>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thickTop="1">
      <c r="A121" s="599"/>
      <c r="B121" s="538" t="s">
        <v>2792</v>
      </c>
      <c r="C121" s="2963" t="s">
        <v>3401</v>
      </c>
      <c r="D121" s="2963" t="s">
        <v>3403</v>
      </c>
      <c r="E121" s="2963" t="s">
        <v>3404</v>
      </c>
      <c r="F121" s="2964" t="s">
        <v>3406</v>
      </c>
      <c r="G121" s="583"/>
      <c r="H121" s="583"/>
      <c r="I121" s="583"/>
      <c r="J121" s="583"/>
      <c r="K121" s="584"/>
      <c r="L121" s="585"/>
      <c r="M121" s="586"/>
      <c r="N121" s="1155"/>
      <c r="O121" s="1155"/>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6"/>
      <c r="O122" s="1156"/>
      <c r="P122" s="45"/>
      <c r="Q122" s="504"/>
    </row>
    <row r="123" spans="1:17" s="471" customFormat="1" ht="15" thickTop="1">
      <c r="A123" s="593"/>
      <c r="B123" s="538" t="s">
        <v>2793</v>
      </c>
      <c r="C123" s="2963" t="s">
        <v>3408</v>
      </c>
      <c r="D123" s="2963" t="s">
        <v>3410</v>
      </c>
      <c r="E123" s="2963" t="s">
        <v>3411</v>
      </c>
      <c r="F123" s="2963" t="s">
        <v>3412</v>
      </c>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2794</v>
      </c>
      <c r="C125" s="2963" t="s">
        <v>3413</v>
      </c>
      <c r="D125" s="2963" t="s">
        <v>3414</v>
      </c>
      <c r="E125" s="2964" t="s">
        <v>3415</v>
      </c>
      <c r="F125" s="2964" t="s">
        <v>3416</v>
      </c>
      <c r="G125" s="2964" t="s">
        <v>3417</v>
      </c>
      <c r="H125" s="583"/>
      <c r="I125" s="583"/>
      <c r="J125" s="583"/>
      <c r="K125" s="584"/>
      <c r="L125" s="585"/>
      <c r="M125" s="586"/>
      <c r="N125" s="1155"/>
      <c r="O125" s="1155"/>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2803</v>
      </c>
      <c r="B1" s="241"/>
      <c r="C1" s="245" t="s">
        <v>2804</v>
      </c>
      <c r="D1" s="388">
        <f>SUM(D29:D30,D33:D39)</f>
        <v>0</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6">
      <c r="A2" s="245" t="s">
        <v>2811</v>
      </c>
      <c r="B2" s="248"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7" t="s">
        <v>2817</v>
      </c>
      <c r="B3" s="248" t="e">
        <f>ROUND(B2*10000/D1,0)</f>
        <v>#DIV/0!</v>
      </c>
      <c r="C3" s="2726" t="s">
        <v>2818</v>
      </c>
      <c r="D3" s="2727" t="s">
        <v>2819</v>
      </c>
      <c r="E3" s="2732"/>
      <c r="F3" s="2733" t="s">
        <v>2820</v>
      </c>
      <c r="G3" s="916">
        <f>IF(F3="宗地容积率",'数据-汇总表'!I4,IF(F3="估价对象容积率",'数据-汇总表'!I6,'数据-汇总表'!I7))</f>
        <v>25.19</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3"/>
      <c r="B4" s="3264"/>
      <c r="C4" s="3264"/>
      <c r="D4" s="3265"/>
      <c r="E4" s="3265"/>
      <c r="F4" s="3265"/>
      <c r="G4" s="3265"/>
      <c r="H4" s="3265"/>
      <c r="I4" s="3265"/>
      <c r="J4" s="3266"/>
      <c r="K4" s="1373"/>
      <c r="L4" s="2731" t="s">
        <v>2824</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3" customFormat="1" ht="15.6" thickBot="1">
      <c r="A5" s="2734" t="s">
        <v>807</v>
      </c>
      <c r="B5" s="2735" t="s">
        <v>2825</v>
      </c>
      <c r="C5" s="917" t="e">
        <f>ROUND(IF(E2="商业",IF(F16="增加",C6*C7+C16,C6*C7-C16),IF(E2="住宅",IF(F16="增加",C6*C12+C16,C6*C12-C16),IF(F16="增加",C6+C16,C6-C16))),0)</f>
        <v>#DIV/0!</v>
      </c>
      <c r="D5" s="1788" t="e">
        <f>ROUND(IF(F16="增加",C6+C16,C6-C16),0)</f>
        <v>#DIV/0!</v>
      </c>
      <c r="E5" s="1788"/>
      <c r="F5" s="2736"/>
      <c r="G5" s="2737"/>
      <c r="H5" s="2737"/>
      <c r="I5" s="2737"/>
      <c r="J5" s="2738"/>
      <c r="K5" s="2739"/>
      <c r="L5" s="2731" t="s">
        <v>2826</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40"/>
      <c r="AD5" s="2741"/>
      <c r="AE5" s="2741"/>
      <c r="AF5" s="2741"/>
      <c r="AG5" s="2741"/>
      <c r="AH5" s="2741"/>
      <c r="AI5" s="2741"/>
      <c r="AJ5" s="2742"/>
    </row>
    <row r="6" spans="1:36" ht="15.6" thickBot="1">
      <c r="A6" s="2744" t="s">
        <v>2827</v>
      </c>
      <c r="B6" s="2745" t="s">
        <v>2828</v>
      </c>
      <c r="C6" s="918">
        <f>SUMIF(L1:L12,G2,M1:M12)</f>
        <v>0</v>
      </c>
      <c r="D6" s="2746" t="s">
        <v>2829</v>
      </c>
      <c r="E6" s="2747"/>
      <c r="F6" s="2747"/>
      <c r="G6" s="2748"/>
      <c r="H6" s="2748"/>
      <c r="I6" s="2748"/>
      <c r="J6" s="2749"/>
      <c r="K6" s="1843"/>
      <c r="L6" s="2731" t="s">
        <v>2830</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40"/>
      <c r="AD6" s="2741"/>
      <c r="AE6" s="2741"/>
      <c r="AF6" s="2741"/>
      <c r="AG6" s="2741"/>
      <c r="AH6" s="2741"/>
      <c r="AI6" s="2741"/>
      <c r="AJ6" s="2742"/>
    </row>
    <row r="7" spans="1:36" ht="24">
      <c r="A7" s="3249" t="str">
        <f>IF(E2="商业",IF(C8="不临58条商业街","",2),"")</f>
        <v/>
      </c>
      <c r="B7" s="2750" t="s">
        <v>2831</v>
      </c>
      <c r="C7" s="919" t="e">
        <f>IF(C8="不临58条商业街",1,ROUND(1+(1.6*E8+1.2*E9+0.8*E10+0.4*E11)*C9,4))</f>
        <v>#DIV/0!</v>
      </c>
      <c r="D7" s="2751" t="s">
        <v>2832</v>
      </c>
      <c r="E7" s="948"/>
      <c r="F7" s="2752"/>
      <c r="G7" s="2753"/>
      <c r="H7" s="2753"/>
      <c r="I7" s="2753"/>
      <c r="J7" s="2754"/>
      <c r="K7" s="1843"/>
      <c r="L7" s="2731" t="s">
        <v>2833</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25.19</v>
      </c>
      <c r="AA7" s="1607"/>
      <c r="AB7" s="1607"/>
      <c r="AC7" s="1608"/>
      <c r="AD7" s="1609"/>
      <c r="AE7" s="1609"/>
      <c r="AF7" s="1609"/>
      <c r="AG7" s="1609"/>
      <c r="AH7" s="1609"/>
      <c r="AI7" s="1609"/>
      <c r="AJ7" s="1610"/>
    </row>
    <row r="8" spans="1:36" ht="15">
      <c r="A8" s="3250"/>
      <c r="B8" s="198" t="s">
        <v>2836</v>
      </c>
      <c r="C8" s="2755"/>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60" t="s">
        <v>2839</v>
      </c>
      <c r="X8" s="3261"/>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50"/>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62"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0"/>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6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0"/>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62" t="s">
        <v>2863</v>
      </c>
      <c r="X11" s="1615" t="s">
        <v>2864</v>
      </c>
      <c r="Y11" s="1616">
        <f>$G$3</f>
        <v>25.19</v>
      </c>
      <c r="Z11" s="1616">
        <f t="shared" ref="Z11:AJ11" si="3">$G$3</f>
        <v>25.19</v>
      </c>
      <c r="AA11" s="1616">
        <f t="shared" si="3"/>
        <v>25.19</v>
      </c>
      <c r="AB11" s="1616">
        <f t="shared" si="3"/>
        <v>25.19</v>
      </c>
      <c r="AC11" s="1616">
        <f t="shared" si="3"/>
        <v>25.19</v>
      </c>
      <c r="AD11" s="1616">
        <f t="shared" si="3"/>
        <v>25.19</v>
      </c>
      <c r="AE11" s="1616">
        <f t="shared" si="3"/>
        <v>25.19</v>
      </c>
      <c r="AF11" s="1616">
        <f t="shared" si="3"/>
        <v>25.19</v>
      </c>
      <c r="AG11" s="1616">
        <f t="shared" si="3"/>
        <v>25.19</v>
      </c>
      <c r="AH11" s="1616">
        <f t="shared" si="3"/>
        <v>25.19</v>
      </c>
      <c r="AI11" s="1616">
        <f t="shared" si="3"/>
        <v>25.19</v>
      </c>
      <c r="AJ11" s="1616">
        <f t="shared" si="3"/>
        <v>25.19</v>
      </c>
    </row>
    <row r="12" spans="1:36" ht="25.8" thickBot="1">
      <c r="A12" s="3249"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62"/>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7"/>
      <c r="B13" s="2769" t="s">
        <v>2870</v>
      </c>
      <c r="C13" s="2770" t="s">
        <v>2871</v>
      </c>
      <c r="D13" s="1809" t="s">
        <v>2872</v>
      </c>
      <c r="E13" s="1809" t="s">
        <v>2873</v>
      </c>
      <c r="F13" s="30" t="s">
        <v>2874</v>
      </c>
      <c r="G13" s="2771" t="s">
        <v>2875</v>
      </c>
      <c r="H13" s="2771" t="s">
        <v>2875</v>
      </c>
      <c r="I13" s="2771" t="s">
        <v>2875</v>
      </c>
      <c r="J13" s="2772" t="s">
        <v>2875</v>
      </c>
      <c r="K13" s="1373"/>
      <c r="L13" s="1373"/>
      <c r="M13" s="1373"/>
      <c r="N13" s="1373"/>
      <c r="O13" s="1373"/>
      <c r="P13" s="1373"/>
      <c r="Q13" s="1373"/>
      <c r="R13" s="1603">
        <v>12</v>
      </c>
      <c r="S13" s="1604"/>
      <c r="T13" s="1603" t="e">
        <f t="shared" si="0"/>
        <v>#DIV/0!</v>
      </c>
      <c r="U13" s="1604"/>
      <c r="V13" s="1603" t="e">
        <f t="shared" si="1"/>
        <v>#DIV/0!</v>
      </c>
      <c r="W13" s="3262"/>
      <c r="X13" s="1617"/>
      <c r="Y13" s="1614">
        <f>(-0.163*(Y12^2)-0.59*Y12+7617)*(10^(-4))/Y11</f>
        <v>3.0238189757840414E-2</v>
      </c>
      <c r="Z13" s="1614">
        <f t="shared" ref="Z13:AJ13" si="5">(-0.163*(Z12^2)-0.59*Z12+7617)*(10^(-4))/Z11</f>
        <v>3.0238189757840414E-2</v>
      </c>
      <c r="AA13" s="1614">
        <f t="shared" si="5"/>
        <v>3.0238189757840414E-2</v>
      </c>
      <c r="AB13" s="1614">
        <f t="shared" si="5"/>
        <v>3.0238189757840414E-2</v>
      </c>
      <c r="AC13" s="1614">
        <f t="shared" si="5"/>
        <v>3.0238189757840414E-2</v>
      </c>
      <c r="AD13" s="1614">
        <f t="shared" si="5"/>
        <v>3.0238189757840414E-2</v>
      </c>
      <c r="AE13" s="1614">
        <f t="shared" si="5"/>
        <v>3.0238189757840414E-2</v>
      </c>
      <c r="AF13" s="1614">
        <f t="shared" si="5"/>
        <v>3.0238189757840414E-2</v>
      </c>
      <c r="AG13" s="1614">
        <f t="shared" si="5"/>
        <v>3.0238189757840414E-2</v>
      </c>
      <c r="AH13" s="1614">
        <f t="shared" si="5"/>
        <v>3.0238189757840414E-2</v>
      </c>
      <c r="AI13" s="1614">
        <f t="shared" si="5"/>
        <v>3.0238189757840414E-2</v>
      </c>
      <c r="AJ13" s="1614">
        <f t="shared" si="5"/>
        <v>3.0238189757840414E-2</v>
      </c>
    </row>
    <row r="14" spans="1:36" ht="15">
      <c r="A14" s="3267"/>
      <c r="B14" s="2773"/>
      <c r="C14" s="2774"/>
      <c r="D14" s="2775"/>
      <c r="E14" s="2775"/>
      <c r="F14" s="2776"/>
      <c r="G14" s="2777" t="s">
        <v>2876</v>
      </c>
      <c r="H14" s="2778"/>
      <c r="I14" s="2779"/>
      <c r="J14" s="2780"/>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68"/>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9" t="s">
        <v>2882</v>
      </c>
      <c r="B16" s="2750" t="s">
        <v>2883</v>
      </c>
      <c r="C16" s="1802" t="e">
        <f>ROUND(SUM(G17:J17)/C17,0)</f>
        <v>#DIV/0!</v>
      </c>
      <c r="D16" s="2784" t="s">
        <v>2884</v>
      </c>
      <c r="E16" s="2785"/>
      <c r="F16" s="2786"/>
      <c r="G16" s="2787"/>
      <c r="H16" s="2787"/>
      <c r="I16" s="2787"/>
      <c r="J16" s="2788"/>
      <c r="K16" s="1373"/>
      <c r="L16" s="2789" t="s">
        <v>2885</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0"/>
      <c r="B17" s="2790" t="s">
        <v>2886</v>
      </c>
      <c r="C17" s="924">
        <f>SUMPRODUCT((修正!A2:A5=E2)*(修正!B1:M1=G2)*(修正!B2:M5))</f>
        <v>0</v>
      </c>
      <c r="D17" s="2791"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2890</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2891</v>
      </c>
      <c r="C19" s="927" t="e">
        <f>ROUND(IF(H19="按公示增长率计算",SUMPRODUCT((地价!A3:A25=YEAR(G19)&amp;"-"&amp;ROUNDUP(MONTH(G19)/3,0))*(地价!X2:AB2=E2)*(地价!X3:AB25)),IF(H19="地价指数",M20/M19,(1+I19)^O19)),4)</f>
        <v>#DIV/0!</v>
      </c>
      <c r="D19" s="2802" t="s">
        <v>2892</v>
      </c>
      <c r="E19" s="928">
        <v>41640</v>
      </c>
      <c r="F19" s="2802" t="s">
        <v>2893</v>
      </c>
      <c r="G19" s="929">
        <f>'数据-取费表'!B2</f>
        <v>43488</v>
      </c>
      <c r="H19" s="2803" t="s">
        <v>2894</v>
      </c>
      <c r="I19" s="930" t="str">
        <f>IF(H19="季度增幅（自定义）",SUMIF(N21:N24,E2,O21:O24),"")</f>
        <v/>
      </c>
      <c r="J19" s="2800"/>
      <c r="K19" s="1380"/>
      <c r="L19" s="2804" t="s">
        <v>2895</v>
      </c>
      <c r="M19" s="1735">
        <f>ROUND(SUMIF(地价!B2:F2,E2,地价!B25:F25),0)</f>
        <v>0</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2897</v>
      </c>
      <c r="C20" s="932" t="e">
        <f>ROUND(POWER(1+G20,J20-I20)*(POWER(1+G20,I20)-1)/(POWER(1+G20,J20)-1),4)</f>
        <v>#DIV/0!</v>
      </c>
      <c r="D20" s="2811" t="s">
        <v>2898</v>
      </c>
      <c r="E20" s="1769">
        <f ca="1">存贷款利率!D4/100</f>
        <v>4.3499999999999997E-2</v>
      </c>
      <c r="F20" s="2811" t="s">
        <v>2889</v>
      </c>
      <c r="G20" s="937">
        <f>SUMIF(M15:P15,E2,M17:P17)</f>
        <v>0</v>
      </c>
      <c r="H20" s="2811" t="s">
        <v>2899</v>
      </c>
      <c r="I20" s="938" t="e">
        <f>SUMIF('数据-取费表'!C6:C15,E2,'数据-取费表'!F6:F15)/COUNTIF('数据-取费表'!C6:C15,E2)</f>
        <v>#DIV/0!</v>
      </c>
      <c r="J20" s="939">
        <f>IF(E2="住宅",70,IF(E2="商业",40,50))</f>
        <v>50</v>
      </c>
      <c r="K20" s="1380"/>
      <c r="L20" s="2812" t="s">
        <v>2900</v>
      </c>
      <c r="M20" s="1736">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2904</v>
      </c>
      <c r="C21" s="940">
        <f>IF(B21="容积率修正",IF(G3&lt;=10,D22,J22),C23)</f>
        <v>0</v>
      </c>
      <c r="D21" s="2818"/>
      <c r="E21" s="2818"/>
      <c r="F21" s="2818"/>
      <c r="G21" s="2818"/>
      <c r="H21" s="2818"/>
      <c r="I21" s="2818"/>
      <c r="J21" s="2819"/>
      <c r="K21" s="1380"/>
      <c r="N21" s="2820" t="s">
        <v>2905</v>
      </c>
      <c r="O21" s="1563"/>
      <c r="P21" s="1564">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4">
      <c r="A22" s="2669" t="s">
        <v>2906</v>
      </c>
      <c r="B22" s="2821" t="s">
        <v>2907</v>
      </c>
      <c r="C22" s="1811" t="s">
        <v>2908</v>
      </c>
      <c r="D22" s="1811" t="str">
        <f>IF(E22=G22,F22,IF(G3&lt;=10,ROUND(F22+(H22-F22)*(G3-E22)/(G22-E22),4),"——"))</f>
        <v>——</v>
      </c>
      <c r="E22" s="916">
        <f>ROUNDDOWN(G3,1)</f>
        <v>25.1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25.200000000000003</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1">
        <f>IF(G3&gt;10,D113,"——")</f>
        <v>0</v>
      </c>
      <c r="K22" s="1380"/>
      <c r="N22" s="2820" t="s">
        <v>2909</v>
      </c>
      <c r="O22" s="1563"/>
      <c r="P22" s="1564">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3"/>
      <c r="P23" s="1564">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2913</v>
      </c>
      <c r="C24" s="927">
        <f>SUMIF(A45:A88,E2,B45:B88)</f>
        <v>0</v>
      </c>
      <c r="D24" s="2798"/>
      <c r="E24" s="2828"/>
      <c r="F24" s="2828"/>
      <c r="G24" s="2828"/>
      <c r="H24" s="2828"/>
      <c r="I24" s="2828"/>
      <c r="J24" s="2829"/>
      <c r="K24" s="1380"/>
      <c r="N24" s="2830" t="s">
        <v>2914</v>
      </c>
      <c r="O24" s="1565"/>
      <c r="P24" s="1566">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2915</v>
      </c>
      <c r="C25" s="933"/>
      <c r="D25" s="2753"/>
      <c r="E25" s="2753"/>
      <c r="F25" s="2832"/>
      <c r="G25" s="2753"/>
      <c r="H25" s="2753"/>
      <c r="I25" s="2753"/>
      <c r="J25" s="2754"/>
      <c r="K25" s="1373"/>
      <c r="N25" s="2833" t="s">
        <v>2916</v>
      </c>
      <c r="O25" s="1567"/>
      <c r="P25" s="1566">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4"/>
      <c r="B26" s="2821" t="s">
        <v>2917</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2918</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t="e">
        <f>ROUND(C5*C18*C19*C20*C21*C24,0)</f>
        <v>#DIV/0!</v>
      </c>
      <c r="D29" s="2850"/>
      <c r="E29" s="945" t="e">
        <f>ROUND(C29*D29/10000,0)</f>
        <v>#DIV/0!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2925</v>
      </c>
      <c r="C30" s="229" t="e">
        <f>ROUND(IF(E2="工业",C29*M39,C29*M38),0)</f>
        <v>#DIV/0!</v>
      </c>
      <c r="D30" s="2856"/>
      <c r="E30" s="945" t="e">
        <f>ROUND(C30*D30/10000,0)</f>
        <v>#DIV/0!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7" t="s">
        <v>2931</v>
      </c>
      <c r="B33" s="2866" t="s">
        <v>2932</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8"/>
      <c r="B34" s="2770" t="s">
        <v>2933</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8"/>
      <c r="B35" s="2770" t="s">
        <v>2934</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59"/>
      <c r="B36" s="2770" t="s">
        <v>2935</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8" t="s">
        <v>2939</v>
      </c>
      <c r="M38" s="2871">
        <v>0.25</v>
      </c>
      <c r="N38" s="1373"/>
      <c r="O38" s="1373"/>
      <c r="P38" s="1373"/>
      <c r="Q38" s="1373"/>
      <c r="R38" s="1373"/>
      <c r="S38" s="1373"/>
      <c r="T38" s="1373"/>
      <c r="U38" s="1373"/>
      <c r="V38" s="1373"/>
      <c r="W38" s="1373"/>
      <c r="X38" s="1373"/>
      <c r="Y38" s="1373"/>
      <c r="Z38" s="1374"/>
    </row>
    <row r="39" spans="1:37" ht="13.8" thickBot="1">
      <c r="A39" s="2854"/>
      <c r="B39" s="2872" t="s">
        <v>2940</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3051</v>
      </c>
      <c r="C41" s="388" t="e">
        <f>ROUND(POWER(1+E41,H41-G41)*(POWER(1+E41,G41)-1)/(POWER(1+E41,H41)-1),4)</f>
        <v>#DIV/0!</v>
      </c>
      <c r="D41" s="200" t="s">
        <v>2889</v>
      </c>
      <c r="E41" s="2942">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2943</v>
      </c>
      <c r="B47" s="1810" t="s">
        <v>2944</v>
      </c>
      <c r="C47" s="1810" t="s">
        <v>2945</v>
      </c>
      <c r="D47" s="1810" t="s">
        <v>2946</v>
      </c>
      <c r="E47" s="819" t="s">
        <v>2947</v>
      </c>
      <c r="F47" s="2884" t="s">
        <v>2948</v>
      </c>
      <c r="G47" s="1810" t="s">
        <v>754</v>
      </c>
      <c r="H47" s="2885" t="s">
        <v>2949</v>
      </c>
      <c r="I47" s="1810" t="s">
        <v>2950</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2959</v>
      </c>
      <c r="B54" s="1726"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2943</v>
      </c>
      <c r="B58" s="1810"/>
      <c r="C58" s="1810" t="s">
        <v>2945</v>
      </c>
      <c r="D58" s="1810" t="s">
        <v>2946</v>
      </c>
      <c r="E58" s="819" t="s">
        <v>2947</v>
      </c>
      <c r="F58" s="2884" t="s">
        <v>2963</v>
      </c>
      <c r="G58" s="1810" t="s">
        <v>754</v>
      </c>
      <c r="H58" s="2885" t="s">
        <v>2949</v>
      </c>
      <c r="I58" s="1810" t="s">
        <v>2950</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2959</v>
      </c>
      <c r="B65" s="1726"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2960</v>
      </c>
      <c r="B66" s="1726"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2943</v>
      </c>
      <c r="B69" s="1810"/>
      <c r="C69" s="1810" t="s">
        <v>2945</v>
      </c>
      <c r="D69" s="1810" t="s">
        <v>2946</v>
      </c>
      <c r="E69" s="819" t="s">
        <v>2947</v>
      </c>
      <c r="F69" s="2884" t="s">
        <v>2963</v>
      </c>
      <c r="G69" s="1810" t="s">
        <v>754</v>
      </c>
      <c r="H69" s="2885" t="s">
        <v>2949</v>
      </c>
      <c r="I69" s="1810" t="s">
        <v>2950</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2959</v>
      </c>
      <c r="B74" s="1726"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2960</v>
      </c>
      <c r="B75" s="1726"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2969</v>
      </c>
      <c r="B79" s="2880">
        <f>1+E81</f>
        <v>1</v>
      </c>
      <c r="C79" s="814"/>
      <c r="D79" s="814"/>
      <c r="E79" s="815"/>
      <c r="F79" s="2882"/>
      <c r="G79" s="6"/>
      <c r="H79" s="6"/>
      <c r="I79" s="6"/>
      <c r="J79" s="7"/>
      <c r="K79" s="7"/>
      <c r="L79" s="7"/>
      <c r="M79" s="7"/>
      <c r="N79" s="7"/>
      <c r="Z79" s="2725"/>
      <c r="AA79" s="2801"/>
      <c r="AG79" s="1375"/>
      <c r="AK79" s="2801"/>
    </row>
    <row r="80" spans="1:37" ht="25.2">
      <c r="A80" s="2883" t="s">
        <v>2943</v>
      </c>
      <c r="B80" s="1810"/>
      <c r="C80" s="1810" t="s">
        <v>2945</v>
      </c>
      <c r="D80" s="1810" t="s">
        <v>2946</v>
      </c>
      <c r="E80" s="819" t="s">
        <v>2947</v>
      </c>
      <c r="F80" s="2884" t="s">
        <v>2963</v>
      </c>
      <c r="G80" s="1810" t="s">
        <v>754</v>
      </c>
      <c r="H80" s="2885" t="s">
        <v>2949</v>
      </c>
      <c r="I80" s="1810" t="s">
        <v>2950</v>
      </c>
      <c r="J80" s="603" t="s">
        <v>2597</v>
      </c>
      <c r="K80" s="603" t="s">
        <v>2598</v>
      </c>
      <c r="L80" s="603" t="s">
        <v>2599</v>
      </c>
      <c r="M80" s="603" t="s">
        <v>2600</v>
      </c>
      <c r="N80" s="603" t="s">
        <v>2601</v>
      </c>
      <c r="Z80" s="2725"/>
      <c r="AA80" s="2801"/>
      <c r="AG80" s="1375"/>
      <c r="AK80" s="2801"/>
    </row>
    <row r="81" spans="1:37" ht="39.6">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2959</v>
      </c>
      <c r="B85" s="1726"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2960</v>
      </c>
      <c r="B86" s="1726"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1" t="s">
        <v>2973</v>
      </c>
      <c r="B90" s="3251"/>
      <c r="C90" s="3251"/>
      <c r="D90" s="3251"/>
      <c r="E90" s="3251"/>
      <c r="F90" s="3251"/>
      <c r="G90" s="3251"/>
      <c r="H90" s="3251"/>
      <c r="I90" s="3251"/>
      <c r="J90" s="3251"/>
      <c r="K90" s="2897"/>
      <c r="L90" s="2897"/>
      <c r="M90" s="2897"/>
      <c r="N90" s="2897"/>
    </row>
    <row r="91" spans="1:37">
      <c r="A91" s="3253" t="s">
        <v>2974</v>
      </c>
      <c r="B91" s="3253" t="s">
        <v>2975</v>
      </c>
      <c r="C91" s="2851" t="s">
        <v>2976</v>
      </c>
      <c r="D91" s="2852"/>
      <c r="E91" s="2852"/>
      <c r="F91" s="2852"/>
      <c r="G91" s="2852"/>
      <c r="H91" s="2852"/>
      <c r="I91" s="2852"/>
      <c r="J91" s="2898"/>
      <c r="K91" s="2899"/>
      <c r="L91" s="2899"/>
      <c r="M91" s="2899"/>
      <c r="N91" s="2899"/>
    </row>
    <row r="92" spans="1:37">
      <c r="A92" s="3253"/>
      <c r="B92" s="325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54"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5"/>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6"/>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4" t="s">
        <v>2978</v>
      </c>
      <c r="B101" s="2904" t="s">
        <v>2979</v>
      </c>
      <c r="C101" s="2905">
        <f>$G$3</f>
        <v>25.19</v>
      </c>
      <c r="D101" s="2905">
        <f t="shared" ref="D101:N101" si="31">$G$3</f>
        <v>25.19</v>
      </c>
      <c r="E101" s="2905">
        <f t="shared" si="31"/>
        <v>25.19</v>
      </c>
      <c r="F101" s="2905">
        <f t="shared" si="31"/>
        <v>25.19</v>
      </c>
      <c r="G101" s="2905">
        <f t="shared" si="31"/>
        <v>25.19</v>
      </c>
      <c r="H101" s="2905">
        <f t="shared" si="31"/>
        <v>25.19</v>
      </c>
      <c r="I101" s="2905">
        <f t="shared" si="31"/>
        <v>25.19</v>
      </c>
      <c r="J101" s="2905">
        <f t="shared" si="31"/>
        <v>25.19</v>
      </c>
      <c r="K101" s="2905">
        <f t="shared" si="31"/>
        <v>25.19</v>
      </c>
      <c r="L101" s="2905">
        <f t="shared" si="31"/>
        <v>25.19</v>
      </c>
      <c r="M101" s="2905">
        <f t="shared" si="31"/>
        <v>25.19</v>
      </c>
      <c r="N101" s="2905">
        <f t="shared" si="31"/>
        <v>25.19</v>
      </c>
    </row>
    <row r="102" spans="1:14">
      <c r="A102" s="3255"/>
      <c r="B102" s="2900">
        <v>1</v>
      </c>
      <c r="C102" s="2901">
        <f>1.9362/C101</f>
        <v>7.6863834855101218E-2</v>
      </c>
      <c r="D102" s="2901">
        <f>1.9362/D101</f>
        <v>7.6863834855101218E-2</v>
      </c>
      <c r="E102" s="2901">
        <f>1.8629/E101</f>
        <v>7.3953949980150854E-2</v>
      </c>
      <c r="F102" s="2901">
        <f>1.8629/F101</f>
        <v>7.3953949980150854E-2</v>
      </c>
      <c r="G102" s="2901">
        <f>1.8629/G101</f>
        <v>7.3953949980150854E-2</v>
      </c>
      <c r="H102" s="2901">
        <f>1.8629/H101</f>
        <v>7.3953949980150854E-2</v>
      </c>
      <c r="I102" s="2901">
        <f>1.8629/I101</f>
        <v>7.3953949980150854E-2</v>
      </c>
      <c r="J102" s="2901">
        <f>1.942/J101</f>
        <v>7.7094084954346956E-2</v>
      </c>
      <c r="K102" s="2901">
        <f>1.942/K101</f>
        <v>7.7094084954346956E-2</v>
      </c>
      <c r="L102" s="2901">
        <f>1.942/L101</f>
        <v>7.7094084954346956E-2</v>
      </c>
      <c r="M102" s="2901">
        <f>1.942/M101</f>
        <v>7.7094084954346956E-2</v>
      </c>
      <c r="N102" s="2901">
        <f>1.942/N101</f>
        <v>7.7094084954346956E-2</v>
      </c>
    </row>
    <row r="103" spans="1:14">
      <c r="A103" s="3255"/>
      <c r="B103" s="2900">
        <v>2</v>
      </c>
      <c r="C103" s="2901">
        <f>1.4198/C101</f>
        <v>5.6363636363636359E-2</v>
      </c>
      <c r="D103" s="2901">
        <f>1.4198/D101</f>
        <v>5.6363636363636359E-2</v>
      </c>
      <c r="E103" s="2901">
        <f>1.3372/E101</f>
        <v>5.3084557364033343E-2</v>
      </c>
      <c r="F103" s="2901">
        <f>1.3372/F101</f>
        <v>5.3084557364033343E-2</v>
      </c>
      <c r="G103" s="2901">
        <f>1.3372/G101</f>
        <v>5.3084557364033343E-2</v>
      </c>
      <c r="H103" s="2901">
        <f>1.3372/H101</f>
        <v>5.3084557364033343E-2</v>
      </c>
      <c r="I103" s="2901">
        <f>1.3372/I101</f>
        <v>5.3084557364033343E-2</v>
      </c>
      <c r="J103" s="2901">
        <f>1.2799/J101</f>
        <v>5.0809845176657403E-2</v>
      </c>
      <c r="K103" s="2901">
        <f>1.2799/K101</f>
        <v>5.0809845176657403E-2</v>
      </c>
      <c r="L103" s="2901">
        <f>1.2799/L101</f>
        <v>5.0809845176657403E-2</v>
      </c>
      <c r="M103" s="2901">
        <f>1.2799/M101</f>
        <v>5.0809845176657403E-2</v>
      </c>
      <c r="N103" s="2901">
        <f>1.2799/N101</f>
        <v>5.0809845176657403E-2</v>
      </c>
    </row>
    <row r="104" spans="1:14">
      <c r="A104" s="3255"/>
      <c r="B104" s="2900">
        <v>3</v>
      </c>
      <c r="C104" s="2901">
        <f>1.1594/C101</f>
        <v>4.6026200873362441E-2</v>
      </c>
      <c r="D104" s="2901">
        <f>1.1594/D101</f>
        <v>4.6026200873362441E-2</v>
      </c>
      <c r="E104" s="2901">
        <f>1.0788/E101</f>
        <v>4.2826518459706232E-2</v>
      </c>
      <c r="F104" s="2901">
        <f>1.0788/F101</f>
        <v>4.2826518459706232E-2</v>
      </c>
      <c r="G104" s="2901">
        <f>1.0788/G101</f>
        <v>4.2826518459706232E-2</v>
      </c>
      <c r="H104" s="2901">
        <f>1.0788/H101</f>
        <v>4.2826518459706232E-2</v>
      </c>
      <c r="I104" s="2901">
        <f>1.0788/I101</f>
        <v>4.2826518459706232E-2</v>
      </c>
      <c r="J104" s="2901">
        <f>1.0072/J101</f>
        <v>3.9984120682810639E-2</v>
      </c>
      <c r="K104" s="2901">
        <f>1.0072/K101</f>
        <v>3.9984120682810639E-2</v>
      </c>
      <c r="L104" s="2901">
        <f>1.0072/L101</f>
        <v>3.9984120682810639E-2</v>
      </c>
      <c r="M104" s="2901">
        <f>1.0072/M101</f>
        <v>3.9984120682810639E-2</v>
      </c>
      <c r="N104" s="2901">
        <f>1.0072/N101</f>
        <v>3.9984120682810639E-2</v>
      </c>
    </row>
    <row r="105" spans="1:14">
      <c r="A105" s="3255"/>
      <c r="B105" s="2900">
        <v>4</v>
      </c>
      <c r="C105" s="2901">
        <f>0.9622/C101</f>
        <v>3.8197697499007546E-2</v>
      </c>
      <c r="D105" s="2901">
        <f>0.9622/D101</f>
        <v>3.8197697499007546E-2</v>
      </c>
      <c r="E105" s="2901">
        <f>0.8656/E101</f>
        <v>3.4362842397776892E-2</v>
      </c>
      <c r="F105" s="2901">
        <f>0.8656/F101</f>
        <v>3.4362842397776892E-2</v>
      </c>
      <c r="G105" s="2901">
        <f>0.8656/G101</f>
        <v>3.4362842397776892E-2</v>
      </c>
      <c r="H105" s="2901">
        <f>0.8656/H101</f>
        <v>3.4362842397776892E-2</v>
      </c>
      <c r="I105" s="2901">
        <f>0.8656/I101</f>
        <v>3.4362842397776892E-2</v>
      </c>
      <c r="J105" s="2901">
        <f>0.7525/J101</f>
        <v>2.9872965462485111E-2</v>
      </c>
      <c r="K105" s="2901">
        <f>0.7525/K101</f>
        <v>2.9872965462485111E-2</v>
      </c>
      <c r="L105" s="2901">
        <f>0.7525/L101</f>
        <v>2.9872965462485111E-2</v>
      </c>
      <c r="M105" s="2901">
        <f>0.7525/M101</f>
        <v>2.9872965462485111E-2</v>
      </c>
      <c r="N105" s="2901">
        <f>0.7525/N101</f>
        <v>2.9872965462485111E-2</v>
      </c>
    </row>
    <row r="106" spans="1:14">
      <c r="A106" s="3255"/>
      <c r="B106" s="2900">
        <v>5</v>
      </c>
      <c r="C106" s="2901">
        <f>0.8417/C101</f>
        <v>3.3414053195712584E-2</v>
      </c>
      <c r="D106" s="2901">
        <f>0.8417/D101</f>
        <v>3.3414053195712584E-2</v>
      </c>
      <c r="E106" s="2901">
        <f>0.7371/E101</f>
        <v>2.9261611750694718E-2</v>
      </c>
      <c r="F106" s="2901">
        <f>0.7371/F101</f>
        <v>2.9261611750694718E-2</v>
      </c>
      <c r="G106" s="2901">
        <f>0.7371/G101</f>
        <v>2.9261611750694718E-2</v>
      </c>
      <c r="H106" s="2901">
        <f>0.7371/H101</f>
        <v>2.9261611750694718E-2</v>
      </c>
      <c r="I106" s="2901">
        <f>0.7371/I101</f>
        <v>2.9261611750694718E-2</v>
      </c>
      <c r="J106" s="2901">
        <f>0.5659/J101</f>
        <v>2.2465263993648271E-2</v>
      </c>
      <c r="K106" s="2901">
        <f>0.5659/K101</f>
        <v>2.2465263993648271E-2</v>
      </c>
      <c r="L106" s="2901">
        <f>0.5659/L101</f>
        <v>2.2465263993648271E-2</v>
      </c>
      <c r="M106" s="2901">
        <f>0.5659/M101</f>
        <v>2.2465263993648271E-2</v>
      </c>
      <c r="N106" s="2901">
        <f>0.5659/N101</f>
        <v>2.2465263993648271E-2</v>
      </c>
    </row>
    <row r="107" spans="1:14">
      <c r="A107" s="3255"/>
      <c r="B107" s="2900">
        <v>6</v>
      </c>
      <c r="C107" s="2901">
        <f>0.7608/C101</f>
        <v>3.0202461294164349E-2</v>
      </c>
      <c r="D107" s="2901">
        <f>0.7608/D101</f>
        <v>3.0202461294164349E-2</v>
      </c>
      <c r="E107" s="2901">
        <f>0.6482/E101</f>
        <v>2.5732433505359267E-2</v>
      </c>
      <c r="F107" s="2901">
        <f>0.6482/F101</f>
        <v>2.5732433505359267E-2</v>
      </c>
      <c r="G107" s="2901">
        <f>0.6482/G101</f>
        <v>2.5732433505359267E-2</v>
      </c>
      <c r="H107" s="2901">
        <f>0.6482/H101</f>
        <v>2.5732433505359267E-2</v>
      </c>
      <c r="I107" s="2901">
        <f>0.6482/I101</f>
        <v>2.5732433505359267E-2</v>
      </c>
      <c r="J107" s="2901">
        <f>0.4525/J101</f>
        <v>1.7963477570464469E-2</v>
      </c>
      <c r="K107" s="2901">
        <f>0.4525/K101</f>
        <v>1.7963477570464469E-2</v>
      </c>
      <c r="L107" s="2901">
        <f>0.4525/L101</f>
        <v>1.7963477570464469E-2</v>
      </c>
      <c r="M107" s="2901">
        <f>0.4525/M101</f>
        <v>1.7963477570464469E-2</v>
      </c>
      <c r="N107" s="2901">
        <f>0.4525/N101</f>
        <v>1.7963477570464469E-2</v>
      </c>
    </row>
    <row r="108" spans="1:14">
      <c r="A108" s="3255"/>
      <c r="B108" s="3087"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6"/>
      <c r="B109" s="3088"/>
      <c r="C109" s="2903">
        <f>(-0.163*(C108^2)-0.59*C108+7617)*(10^(-4))/C101</f>
        <v>3.0238189757840414E-2</v>
      </c>
      <c r="D109" s="2903">
        <f>(-0.163*(D108^2)-0.59*D108+7617)*(10^(-4))/D101</f>
        <v>3.0238189757840414E-2</v>
      </c>
      <c r="E109" s="2903">
        <f>(-0.161*(E108^2)-7.509*E108+6533)*(10^(-4))/E101</f>
        <v>2.5934894799523617E-2</v>
      </c>
      <c r="F109" s="2903">
        <f>(-0.161*(F108^2)-7.509*F108+6533)*(10^(-4))/F101</f>
        <v>2.5934894799523617E-2</v>
      </c>
      <c r="G109" s="2903">
        <f>(-0.161*(G108^2)-7.509*G108+6533)*(10^(-4))/G101</f>
        <v>2.5934894799523617E-2</v>
      </c>
      <c r="H109" s="2903">
        <f>(-0.161*(H108^2)-7.509*H108+6533)*(10^(-4))/H101</f>
        <v>2.5934894799523617E-2</v>
      </c>
      <c r="I109" s="2903">
        <f>(-0.161*(I108^2)-7.509*I108+6533)*(10^(-4))/I101</f>
        <v>2.5934894799523617E-2</v>
      </c>
      <c r="J109" s="2903">
        <f>(-0.214*(J108^2)-21.991*J108+4665)*(10^(-4))/J101</f>
        <v>1.85192536720921E-2</v>
      </c>
      <c r="K109" s="2903">
        <f>(-0.214*(K108^2)-21.991*K108+4665)*(10^(-4))/K101</f>
        <v>1.85192536720921E-2</v>
      </c>
      <c r="L109" s="2903">
        <f>(-0.214*(L108^2)-21.991*L108+4665)*(10^(-4))/L101</f>
        <v>1.85192536720921E-2</v>
      </c>
      <c r="M109" s="2903">
        <f>(-0.214*(M108^2)-21.991*M108+4665)*(10^(-4))/M101</f>
        <v>1.85192536720921E-2</v>
      </c>
      <c r="N109" s="2903">
        <f>(-0.214*(N108^2)-21.991*N108+4665)*(10^(-4))/N101</f>
        <v>1.85192536720921E-2</v>
      </c>
    </row>
    <row r="110" spans="1:14">
      <c r="A110" s="3252" t="s">
        <v>2981</v>
      </c>
      <c r="B110" s="3252"/>
      <c r="C110" s="3252"/>
      <c r="D110" s="3252"/>
      <c r="E110" s="3252"/>
      <c r="F110" s="3252"/>
      <c r="G110" s="3252"/>
      <c r="H110" s="3252"/>
      <c r="I110" s="3252"/>
      <c r="J110" s="3252"/>
      <c r="K110" s="2906"/>
      <c r="L110" s="2906"/>
      <c r="M110" s="2906"/>
      <c r="N110" s="2906"/>
    </row>
    <row r="112" spans="1:14" ht="13.8" thickBot="1"/>
    <row r="113" spans="1:13" ht="25.8" thickBot="1">
      <c r="A113" s="903" t="s">
        <v>2982</v>
      </c>
      <c r="B113" s="1290">
        <f>G3</f>
        <v>25.19</v>
      </c>
      <c r="C113" s="904" t="s">
        <v>2983</v>
      </c>
      <c r="D113" s="905">
        <f>SUMPRODUCT((A115:A118=F113)*(B114:M114=H113)*B115:M118)</f>
        <v>0</v>
      </c>
      <c r="E113" s="2729" t="s">
        <v>2813</v>
      </c>
      <c r="F113" s="2908">
        <f>E2</f>
        <v>0</v>
      </c>
      <c r="G113" s="2729" t="s">
        <v>2814</v>
      </c>
      <c r="H113" s="2908">
        <f>G2</f>
        <v>0</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2878</v>
      </c>
      <c r="B115" s="910">
        <f>ROUND(0.9335-0.0094*B113,4)</f>
        <v>0.69669999999999999</v>
      </c>
      <c r="C115" s="910">
        <f>B115</f>
        <v>0.69669999999999999</v>
      </c>
      <c r="D115" s="910">
        <f>ROUND(0.8331-0.0109*B113,4)</f>
        <v>0.5585</v>
      </c>
      <c r="E115" s="910">
        <f>D115</f>
        <v>0.5585</v>
      </c>
      <c r="F115" s="910">
        <f>E115</f>
        <v>0.5585</v>
      </c>
      <c r="G115" s="910">
        <f>F115</f>
        <v>0.5585</v>
      </c>
      <c r="H115" s="910">
        <f>G115</f>
        <v>0.5585</v>
      </c>
      <c r="I115" s="910">
        <f>ROUND(0.689-0.0155*B113,4)</f>
        <v>0.29859999999999998</v>
      </c>
      <c r="J115" s="910">
        <f t="shared" ref="J115:M118" si="33">I115</f>
        <v>0.29859999999999998</v>
      </c>
      <c r="K115" s="910">
        <f t="shared" si="33"/>
        <v>0.29859999999999998</v>
      </c>
      <c r="L115" s="910">
        <f t="shared" si="33"/>
        <v>0.29859999999999998</v>
      </c>
      <c r="M115" s="911">
        <f t="shared" si="33"/>
        <v>0.29859999999999998</v>
      </c>
    </row>
    <row r="116" spans="1:13">
      <c r="A116" s="909" t="s">
        <v>2879</v>
      </c>
      <c r="B116" s="910">
        <f>ROUND(0.949-0.012*B113,4)</f>
        <v>0.64670000000000005</v>
      </c>
      <c r="C116" s="910">
        <f>B116</f>
        <v>0.64670000000000005</v>
      </c>
      <c r="D116" s="910">
        <f>ROUND(0.8567-0.013*B113,4)</f>
        <v>0.5292</v>
      </c>
      <c r="E116" s="910">
        <f t="shared" ref="E116:H117" si="34">D116</f>
        <v>0.5292</v>
      </c>
      <c r="F116" s="910">
        <f t="shared" si="34"/>
        <v>0.5292</v>
      </c>
      <c r="G116" s="910">
        <f t="shared" si="34"/>
        <v>0.5292</v>
      </c>
      <c r="H116" s="910">
        <f t="shared" si="34"/>
        <v>0.5292</v>
      </c>
      <c r="I116" s="910">
        <f>ROUND(0.7694-0.014*B113,4)</f>
        <v>0.41670000000000001</v>
      </c>
      <c r="J116" s="910">
        <f t="shared" si="33"/>
        <v>0.41670000000000001</v>
      </c>
      <c r="K116" s="910">
        <f t="shared" si="33"/>
        <v>0.41670000000000001</v>
      </c>
      <c r="L116" s="910">
        <f t="shared" si="33"/>
        <v>0.41670000000000001</v>
      </c>
      <c r="M116" s="911">
        <f t="shared" si="33"/>
        <v>0.41670000000000001</v>
      </c>
    </row>
    <row r="117" spans="1:13">
      <c r="A117" s="909" t="s">
        <v>2880</v>
      </c>
      <c r="B117" s="910">
        <f>ROUND(0.8808-0.006*B113,4)</f>
        <v>0.72970000000000002</v>
      </c>
      <c r="C117" s="910">
        <f>B117</f>
        <v>0.72970000000000002</v>
      </c>
      <c r="D117" s="910">
        <f>ROUND(0.8748-0.008*B113,4)</f>
        <v>0.67330000000000001</v>
      </c>
      <c r="E117" s="910">
        <f t="shared" si="34"/>
        <v>0.67330000000000001</v>
      </c>
      <c r="F117" s="910">
        <f t="shared" si="34"/>
        <v>0.67330000000000001</v>
      </c>
      <c r="G117" s="910">
        <f t="shared" si="34"/>
        <v>0.67330000000000001</v>
      </c>
      <c r="H117" s="910">
        <f t="shared" si="34"/>
        <v>0.67330000000000001</v>
      </c>
      <c r="I117" s="910">
        <f>ROUND(0.7412-0.0095*B113,4)</f>
        <v>0.50190000000000001</v>
      </c>
      <c r="J117" s="910">
        <f t="shared" si="33"/>
        <v>0.50190000000000001</v>
      </c>
      <c r="K117" s="910">
        <f t="shared" si="33"/>
        <v>0.50190000000000001</v>
      </c>
      <c r="L117" s="910">
        <f t="shared" si="33"/>
        <v>0.50190000000000001</v>
      </c>
      <c r="M117" s="911">
        <f t="shared" si="33"/>
        <v>0.50190000000000001</v>
      </c>
    </row>
    <row r="118" spans="1:13" ht="13.8" thickBot="1">
      <c r="A118" s="714" t="s">
        <v>2881</v>
      </c>
      <c r="B118" s="912">
        <f>ROUND(0.7275-0.01*B113,4)</f>
        <v>0.47560000000000002</v>
      </c>
      <c r="C118" s="912">
        <f>B118</f>
        <v>0.47560000000000002</v>
      </c>
      <c r="D118" s="912">
        <f>ROUND(0.7043-0.012*B113,4)</f>
        <v>0.40200000000000002</v>
      </c>
      <c r="E118" s="912">
        <f>D118</f>
        <v>0.40200000000000002</v>
      </c>
      <c r="F118" s="912">
        <f>E118</f>
        <v>0.40200000000000002</v>
      </c>
      <c r="G118" s="912">
        <f>ROUND(0.6299-0.0122*B113,4)</f>
        <v>0.3226</v>
      </c>
      <c r="H118" s="912">
        <f>G118</f>
        <v>0.3226</v>
      </c>
      <c r="I118" s="912">
        <f>ROUND(0.5667-0.0136*B113,4)</f>
        <v>0.22409999999999999</v>
      </c>
      <c r="J118" s="912">
        <f t="shared" si="33"/>
        <v>0.22409999999999999</v>
      </c>
      <c r="K118" s="912">
        <f t="shared" si="33"/>
        <v>0.22409999999999999</v>
      </c>
      <c r="L118" s="912">
        <f t="shared" si="33"/>
        <v>0.22409999999999999</v>
      </c>
      <c r="M118" s="913">
        <f t="shared" si="33"/>
        <v>0.22409999999999999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9" t="s">
        <v>614</v>
      </c>
      <c r="C61" s="818" t="s">
        <v>615</v>
      </c>
      <c r="D61" s="818" t="s">
        <v>616</v>
      </c>
      <c r="E61" s="895">
        <v>0.5</v>
      </c>
      <c r="F61" s="882">
        <v>80</v>
      </c>
    </row>
    <row r="62" spans="1:8" s="878" customFormat="1" ht="36">
      <c r="A62" s="882">
        <v>2</v>
      </c>
      <c r="B62" s="3269"/>
      <c r="C62" s="818" t="s">
        <v>617</v>
      </c>
      <c r="D62" s="818" t="s">
        <v>618</v>
      </c>
      <c r="E62" s="895">
        <v>0.5</v>
      </c>
      <c r="F62" s="882">
        <v>80</v>
      </c>
    </row>
    <row r="63" spans="1:8" s="878" customFormat="1" ht="48">
      <c r="A63" s="882">
        <v>3</v>
      </c>
      <c r="B63" s="3269"/>
      <c r="C63" s="818" t="s">
        <v>619</v>
      </c>
      <c r="D63" s="818" t="s">
        <v>620</v>
      </c>
      <c r="E63" s="895">
        <v>0.5</v>
      </c>
      <c r="F63" s="882">
        <v>80</v>
      </c>
    </row>
    <row r="64" spans="1:8" s="878" customFormat="1" ht="48">
      <c r="A64" s="882">
        <v>4</v>
      </c>
      <c r="B64" s="3269"/>
      <c r="C64" s="818" t="s">
        <v>621</v>
      </c>
      <c r="D64" s="818" t="s">
        <v>622</v>
      </c>
      <c r="E64" s="895">
        <v>0.4</v>
      </c>
      <c r="F64" s="882">
        <v>60</v>
      </c>
    </row>
    <row r="65" spans="1:6" s="878" customFormat="1" ht="48">
      <c r="A65" s="882">
        <v>5</v>
      </c>
      <c r="B65" s="3269"/>
      <c r="C65" s="818" t="s">
        <v>623</v>
      </c>
      <c r="D65" s="818" t="s">
        <v>624</v>
      </c>
      <c r="E65" s="895">
        <v>0.2</v>
      </c>
      <c r="F65" s="882">
        <v>30</v>
      </c>
    </row>
    <row r="66" spans="1:6" s="878" customFormat="1" ht="48">
      <c r="A66" s="882">
        <v>6</v>
      </c>
      <c r="B66" s="3269"/>
      <c r="C66" s="818" t="s">
        <v>625</v>
      </c>
      <c r="D66" s="818" t="s">
        <v>626</v>
      </c>
      <c r="E66" s="895">
        <v>0.3</v>
      </c>
      <c r="F66" s="882">
        <v>50</v>
      </c>
    </row>
    <row r="67" spans="1:6" s="878" customFormat="1" ht="48">
      <c r="A67" s="882">
        <v>7</v>
      </c>
      <c r="B67" s="3269"/>
      <c r="C67" s="818" t="s">
        <v>627</v>
      </c>
      <c r="D67" s="818" t="s">
        <v>628</v>
      </c>
      <c r="E67" s="895">
        <v>0.2</v>
      </c>
      <c r="F67" s="882">
        <v>30</v>
      </c>
    </row>
    <row r="68" spans="1:6" s="878" customFormat="1" ht="48">
      <c r="A68" s="882">
        <v>8</v>
      </c>
      <c r="B68" s="3269"/>
      <c r="C68" s="818" t="s">
        <v>629</v>
      </c>
      <c r="D68" s="818" t="s">
        <v>630</v>
      </c>
      <c r="E68" s="895">
        <v>0.2</v>
      </c>
      <c r="F68" s="882">
        <v>30</v>
      </c>
    </row>
    <row r="69" spans="1:6" s="878" customFormat="1" ht="48">
      <c r="A69" s="882">
        <v>9</v>
      </c>
      <c r="B69" s="3269"/>
      <c r="C69" s="818" t="s">
        <v>631</v>
      </c>
      <c r="D69" s="818" t="s">
        <v>632</v>
      </c>
      <c r="E69" s="895">
        <v>0.2</v>
      </c>
      <c r="F69" s="882">
        <v>30</v>
      </c>
    </row>
    <row r="70" spans="1:6" s="878" customFormat="1" ht="60">
      <c r="A70" s="882">
        <v>10</v>
      </c>
      <c r="B70" s="3269"/>
      <c r="C70" s="818" t="s">
        <v>633</v>
      </c>
      <c r="D70" s="818" t="s">
        <v>634</v>
      </c>
      <c r="E70" s="895">
        <v>0.2</v>
      </c>
      <c r="F70" s="882">
        <v>30</v>
      </c>
    </row>
    <row r="71" spans="1:6" s="878" customFormat="1" ht="60">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36">
      <c r="A73" s="882">
        <v>13</v>
      </c>
      <c r="B73" s="3269"/>
      <c r="C73" s="818" t="s">
        <v>639</v>
      </c>
      <c r="D73" s="818" t="s">
        <v>640</v>
      </c>
      <c r="E73" s="895">
        <v>0.4</v>
      </c>
      <c r="F73" s="882">
        <v>60</v>
      </c>
    </row>
    <row r="74" spans="1:6" s="878" customFormat="1" ht="36">
      <c r="A74" s="882">
        <v>14</v>
      </c>
      <c r="B74" s="3269"/>
      <c r="C74" s="818" t="s">
        <v>641</v>
      </c>
      <c r="D74" s="818" t="s">
        <v>642</v>
      </c>
      <c r="E74" s="895">
        <v>0.2</v>
      </c>
      <c r="F74" s="882">
        <v>30</v>
      </c>
    </row>
    <row r="75" spans="1:6" s="878" customFormat="1" ht="36">
      <c r="A75" s="882">
        <v>15</v>
      </c>
      <c r="B75" s="3269"/>
      <c r="C75" s="818" t="s">
        <v>643</v>
      </c>
      <c r="D75" s="818" t="s">
        <v>644</v>
      </c>
      <c r="E75" s="895">
        <v>0.2</v>
      </c>
      <c r="F75" s="882">
        <v>30</v>
      </c>
    </row>
    <row r="76" spans="1:6" s="878" customFormat="1" ht="36">
      <c r="A76" s="882">
        <v>16</v>
      </c>
      <c r="B76" s="3269" t="s">
        <v>645</v>
      </c>
      <c r="C76" s="818" t="s">
        <v>646</v>
      </c>
      <c r="D76" s="818" t="s">
        <v>647</v>
      </c>
      <c r="E76" s="895">
        <v>0.5</v>
      </c>
      <c r="F76" s="882">
        <v>80</v>
      </c>
    </row>
    <row r="77" spans="1:6" s="878" customFormat="1" ht="36">
      <c r="A77" s="882">
        <v>17</v>
      </c>
      <c r="B77" s="3269"/>
      <c r="C77" s="818" t="s">
        <v>648</v>
      </c>
      <c r="D77" s="818" t="s">
        <v>649</v>
      </c>
      <c r="E77" s="895">
        <v>0.5</v>
      </c>
      <c r="F77" s="882">
        <v>80</v>
      </c>
    </row>
    <row r="78" spans="1:6" s="878" customFormat="1" ht="36">
      <c r="A78" s="882">
        <v>18</v>
      </c>
      <c r="B78" s="3269"/>
      <c r="C78" s="818" t="s">
        <v>650</v>
      </c>
      <c r="D78" s="818" t="s">
        <v>651</v>
      </c>
      <c r="E78" s="895">
        <v>0.2</v>
      </c>
      <c r="F78" s="882">
        <v>30</v>
      </c>
    </row>
    <row r="79" spans="1:6" s="878" customFormat="1" ht="36">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60">
      <c r="A82" s="882">
        <v>22</v>
      </c>
      <c r="B82" s="3269"/>
      <c r="C82" s="818" t="s">
        <v>658</v>
      </c>
      <c r="D82" s="818" t="s">
        <v>659</v>
      </c>
      <c r="E82" s="895">
        <v>0.2</v>
      </c>
      <c r="F82" s="882">
        <v>30</v>
      </c>
    </row>
    <row r="83" spans="1:6" s="878" customFormat="1" ht="60">
      <c r="A83" s="882">
        <v>23</v>
      </c>
      <c r="B83" s="3269"/>
      <c r="C83" s="818" t="s">
        <v>660</v>
      </c>
      <c r="D83" s="818" t="s">
        <v>661</v>
      </c>
      <c r="E83" s="895">
        <v>0.2</v>
      </c>
      <c r="F83" s="882">
        <v>30</v>
      </c>
    </row>
    <row r="84" spans="1:6" s="878" customFormat="1" ht="48">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36">
      <c r="A89" s="882">
        <v>29</v>
      </c>
      <c r="B89" s="3269"/>
      <c r="C89" s="818" t="s">
        <v>672</v>
      </c>
      <c r="D89" s="818" t="s">
        <v>673</v>
      </c>
      <c r="E89" s="895">
        <v>0.2</v>
      </c>
      <c r="F89" s="882">
        <v>30</v>
      </c>
    </row>
    <row r="90" spans="1:6" s="878" customFormat="1" ht="36">
      <c r="A90" s="882">
        <v>30</v>
      </c>
      <c r="B90" s="3269"/>
      <c r="C90" s="818" t="s">
        <v>674</v>
      </c>
      <c r="D90" s="818" t="s">
        <v>675</v>
      </c>
      <c r="E90" s="895">
        <v>0.2</v>
      </c>
      <c r="F90" s="882">
        <v>30</v>
      </c>
    </row>
    <row r="91" spans="1:6" s="878" customFormat="1" ht="48">
      <c r="A91" s="882">
        <v>31</v>
      </c>
      <c r="B91" s="3269"/>
      <c r="C91" s="818" t="s">
        <v>676</v>
      </c>
      <c r="D91" s="818" t="s">
        <v>677</v>
      </c>
      <c r="E91" s="895">
        <v>0.2</v>
      </c>
      <c r="F91" s="882">
        <v>30</v>
      </c>
    </row>
    <row r="92" spans="1:6" s="878" customFormat="1" ht="36">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60">
      <c r="A94" s="882">
        <v>34</v>
      </c>
      <c r="B94" s="3269"/>
      <c r="C94" s="882" t="s">
        <v>683</v>
      </c>
      <c r="D94" s="818" t="s">
        <v>684</v>
      </c>
      <c r="E94" s="895">
        <v>0.2</v>
      </c>
      <c r="F94" s="882">
        <v>30</v>
      </c>
    </row>
    <row r="95" spans="1:6" s="878" customFormat="1" ht="48">
      <c r="A95" s="882">
        <v>35</v>
      </c>
      <c r="B95" s="3269"/>
      <c r="C95" s="882" t="s">
        <v>685</v>
      </c>
      <c r="D95" s="818" t="s">
        <v>686</v>
      </c>
      <c r="E95" s="895">
        <v>0.2</v>
      </c>
      <c r="F95" s="882">
        <v>30</v>
      </c>
    </row>
    <row r="96" spans="1:6" s="878" customFormat="1" ht="72">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36">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9" t="s">
        <v>708</v>
      </c>
      <c r="C105" s="882" t="s">
        <v>709</v>
      </c>
      <c r="D105" s="818" t="s">
        <v>710</v>
      </c>
      <c r="E105" s="895">
        <v>0.2</v>
      </c>
      <c r="F105" s="882">
        <v>30</v>
      </c>
    </row>
    <row r="106" spans="1:6" s="878" customFormat="1" ht="48">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48">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9" t="s">
        <v>724</v>
      </c>
      <c r="C111" s="882" t="s">
        <v>725</v>
      </c>
      <c r="D111" s="818" t="s">
        <v>726</v>
      </c>
      <c r="E111" s="895">
        <v>0.2</v>
      </c>
      <c r="F111" s="882">
        <v>30</v>
      </c>
    </row>
    <row r="112" spans="1:6" s="878" customFormat="1" ht="36">
      <c r="A112" s="882">
        <v>52</v>
      </c>
      <c r="B112" s="3269"/>
      <c r="C112" s="882" t="s">
        <v>727</v>
      </c>
      <c r="D112" s="818" t="s">
        <v>728</v>
      </c>
      <c r="E112" s="895">
        <v>0.2</v>
      </c>
      <c r="F112" s="882">
        <v>30</v>
      </c>
    </row>
    <row r="113" spans="1:6" s="878" customFormat="1" ht="36">
      <c r="A113" s="882">
        <v>53</v>
      </c>
      <c r="B113" s="326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188" t="s">
        <v>2647</v>
      </c>
      <c r="S4" s="3189"/>
      <c r="T4" s="3188" t="s">
        <v>2648</v>
      </c>
      <c r="U4" s="3189"/>
      <c r="V4" s="3213" t="s">
        <v>2649</v>
      </c>
      <c r="W4" s="3213"/>
      <c r="X4" s="1814"/>
      <c r="Y4" s="3188" t="s">
        <v>2651</v>
      </c>
      <c r="Z4" s="3189"/>
      <c r="AA4" s="3183" t="s">
        <v>2647</v>
      </c>
      <c r="AB4" s="3184" t="s">
        <v>2648</v>
      </c>
      <c r="AC4" s="3183" t="s">
        <v>2649</v>
      </c>
    </row>
    <row r="5" spans="1:29">
      <c r="A5" s="404"/>
      <c r="B5" s="405"/>
      <c r="C5" s="3194" t="s">
        <v>2542</v>
      </c>
      <c r="D5" s="3195"/>
      <c r="E5" s="3192" t="s">
        <v>2543</v>
      </c>
      <c r="F5" s="3193"/>
      <c r="G5" s="3194" t="s">
        <v>2544</v>
      </c>
      <c r="H5" s="3195"/>
      <c r="I5" s="3194" t="s">
        <v>2545</v>
      </c>
      <c r="J5" s="3195"/>
      <c r="K5" s="610"/>
      <c r="L5" s="1133"/>
      <c r="M5" s="1134"/>
      <c r="N5" s="1134"/>
      <c r="O5" s="1134"/>
      <c r="P5" s="3207"/>
      <c r="Q5" s="3208"/>
      <c r="R5" s="3190"/>
      <c r="S5" s="3191"/>
      <c r="T5" s="3190"/>
      <c r="U5" s="3191"/>
      <c r="V5" s="3213"/>
      <c r="W5" s="3213"/>
      <c r="X5" s="1814"/>
      <c r="Y5" s="3190"/>
      <c r="Z5" s="3191"/>
      <c r="AA5" s="3184"/>
      <c r="AB5" s="3184"/>
      <c r="AC5" s="3184"/>
    </row>
    <row r="6" spans="1:29" ht="15" thickBot="1">
      <c r="A6" s="406"/>
      <c r="B6" s="407"/>
      <c r="C6" s="3270" t="s">
        <v>2796</v>
      </c>
      <c r="D6" s="3271"/>
      <c r="E6" s="3272" t="s">
        <v>2796</v>
      </c>
      <c r="F6" s="3273"/>
      <c r="G6" s="3270" t="s">
        <v>2796</v>
      </c>
      <c r="H6" s="3271"/>
      <c r="I6" s="3270" t="s">
        <v>2796</v>
      </c>
      <c r="J6" s="3271"/>
      <c r="K6" s="610" t="s">
        <v>2547</v>
      </c>
      <c r="L6" s="1133"/>
      <c r="M6" s="1134"/>
      <c r="N6" s="1134"/>
      <c r="O6" s="1134"/>
      <c r="P6" s="3209"/>
      <c r="Q6" s="3210"/>
      <c r="R6" s="3190"/>
      <c r="S6" s="3191"/>
      <c r="T6" s="3211"/>
      <c r="U6" s="3212"/>
      <c r="V6" s="3213"/>
      <c r="W6" s="3213"/>
      <c r="X6" s="1814"/>
      <c r="Y6" s="3211"/>
      <c r="Z6" s="3212"/>
      <c r="AA6" s="3185"/>
      <c r="AB6" s="3185"/>
      <c r="AC6" s="3185"/>
    </row>
    <row r="7" spans="1:29" s="117" customFormat="1" ht="15" thickBot="1">
      <c r="A7" s="408" t="s">
        <v>2548</v>
      </c>
      <c r="B7" s="409"/>
      <c r="C7" s="410">
        <f>'数据-取费表'!B2</f>
        <v>43488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6" t="s">
        <v>2549</v>
      </c>
      <c r="Q7" s="3214"/>
      <c r="R7" s="770" t="s">
        <v>17</v>
      </c>
      <c r="S7" s="771">
        <f t="shared" ref="S7:S15" si="0">F7</f>
        <v>0</v>
      </c>
      <c r="T7" s="770" t="s">
        <v>17</v>
      </c>
      <c r="U7" s="771">
        <f t="shared" ref="U7:U15" si="1">H7</f>
        <v>0</v>
      </c>
      <c r="V7" s="770" t="s">
        <v>17</v>
      </c>
      <c r="W7" s="771">
        <f t="shared" ref="W7:W15" si="2">J7</f>
        <v>0</v>
      </c>
      <c r="X7" s="772"/>
      <c r="Y7" s="3186" t="s">
        <v>2549</v>
      </c>
      <c r="Z7" s="3187"/>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6" t="s">
        <v>2552</v>
      </c>
      <c r="Q8" s="3187"/>
      <c r="R8" s="770" t="s">
        <v>17</v>
      </c>
      <c r="S8" s="771">
        <f t="shared" si="0"/>
        <v>0</v>
      </c>
      <c r="T8" s="770" t="s">
        <v>17</v>
      </c>
      <c r="U8" s="771">
        <f t="shared" si="1"/>
        <v>0</v>
      </c>
      <c r="V8" s="770" t="s">
        <v>17</v>
      </c>
      <c r="W8" s="771">
        <f t="shared" si="2"/>
        <v>0</v>
      </c>
      <c r="X8" s="772"/>
      <c r="Y8" s="3186" t="s">
        <v>2552</v>
      </c>
      <c r="Z8" s="3187"/>
      <c r="AA8" s="773" t="e">
        <f t="shared" ref="AA8:AA40" si="3">D8/F8</f>
        <v>#DIV/0!</v>
      </c>
      <c r="AB8" s="773" t="e">
        <f t="shared" ref="AB8:AB40" si="4">D8/H8</f>
        <v>#DIV/0!</v>
      </c>
      <c r="AC8" s="773" t="e">
        <f t="shared" ref="AC8:AC40" si="5">D8/J8</f>
        <v>#DIV/0!</v>
      </c>
    </row>
    <row r="9" spans="1:29" s="117" customFormat="1" ht="14.4">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18" t="s">
        <v>2555</v>
      </c>
      <c r="Q9" s="1796" t="str">
        <f t="shared" ref="Q9:Q15" si="6">B9</f>
        <v>用途</v>
      </c>
      <c r="R9" s="770" t="s">
        <v>17</v>
      </c>
      <c r="S9" s="771">
        <f t="shared" si="0"/>
        <v>100</v>
      </c>
      <c r="T9" s="770" t="s">
        <v>17</v>
      </c>
      <c r="U9" s="771">
        <f t="shared" si="1"/>
        <v>100</v>
      </c>
      <c r="V9" s="770" t="s">
        <v>17</v>
      </c>
      <c r="W9" s="771">
        <f t="shared" si="2"/>
        <v>100</v>
      </c>
      <c r="X9" s="772"/>
      <c r="Y9" s="3033"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18"/>
      <c r="Q10" s="1796"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2559</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2560</v>
      </c>
      <c r="Q15" s="1811" t="str">
        <f t="shared" si="6"/>
        <v>产业集聚程度</v>
      </c>
      <c r="R15" s="774" t="s">
        <v>17</v>
      </c>
      <c r="S15" s="775">
        <f t="shared" si="0"/>
        <v>100</v>
      </c>
      <c r="T15" s="774" t="s">
        <v>17</v>
      </c>
      <c r="U15" s="775">
        <f t="shared" si="1"/>
        <v>100</v>
      </c>
      <c r="V15" s="774" t="s">
        <v>17</v>
      </c>
      <c r="W15" s="775">
        <f t="shared" si="2"/>
        <v>100</v>
      </c>
      <c r="X15" s="1814"/>
      <c r="Y15" s="3220" t="s">
        <v>2560</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96.6">
      <c r="A17" s="428"/>
      <c r="B17" s="631" t="s">
        <v>2709</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28.8">
      <c r="A19" s="428"/>
      <c r="B19" s="631" t="s">
        <v>2748</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1" t="str">
        <f t="shared" ref="Q19:Q33" si="8">B19</f>
        <v>区域土地利用方向</v>
      </c>
      <c r="R19" s="774" t="s">
        <v>17</v>
      </c>
      <c r="S19" s="775">
        <f>F19</f>
        <v>100</v>
      </c>
      <c r="T19" s="774" t="s">
        <v>17</v>
      </c>
      <c r="U19" s="775">
        <f>H19</f>
        <v>100</v>
      </c>
      <c r="V19" s="774" t="s">
        <v>17</v>
      </c>
      <c r="W19" s="775">
        <f>J19</f>
        <v>100</v>
      </c>
      <c r="X19" s="1814"/>
      <c r="Y19" s="3221"/>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2"/>
      <c r="L20" s="1143"/>
      <c r="M20" s="1134"/>
      <c r="N20" s="1134"/>
      <c r="O20" s="1142"/>
      <c r="P20" s="3221"/>
      <c r="Q20" s="1811"/>
      <c r="R20" s="774"/>
      <c r="S20" s="775"/>
      <c r="T20" s="774"/>
      <c r="U20" s="775"/>
      <c r="V20" s="774"/>
      <c r="W20" s="775"/>
      <c r="X20" s="1814"/>
      <c r="Y20" s="3221"/>
      <c r="Z20" s="1815"/>
      <c r="AA20" s="1812"/>
      <c r="AB20" s="1812"/>
      <c r="AC20" s="1812"/>
    </row>
    <row r="21" spans="1:29" ht="82.8">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1" t="str">
        <f t="shared" si="8"/>
        <v>环境状况</v>
      </c>
      <c r="R21" s="774" t="s">
        <v>17</v>
      </c>
      <c r="S21" s="775">
        <f>F21</f>
        <v>100</v>
      </c>
      <c r="T21" s="774" t="s">
        <v>17</v>
      </c>
      <c r="U21" s="775">
        <f>H21</f>
        <v>100</v>
      </c>
      <c r="V21" s="774" t="s">
        <v>17</v>
      </c>
      <c r="W21" s="775">
        <f>J21</f>
        <v>100</v>
      </c>
      <c r="X21" s="1814"/>
      <c r="Y21" s="3221"/>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s="117" customFormat="1" ht="41.4">
      <c r="A23" s="649"/>
      <c r="B23" s="633" t="s">
        <v>2654</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6" t="str">
        <f t="shared" si="8"/>
        <v>公共配套设施</v>
      </c>
      <c r="R23" s="770" t="s">
        <v>17</v>
      </c>
      <c r="S23" s="771">
        <f>F23</f>
        <v>100</v>
      </c>
      <c r="T23" s="770" t="s">
        <v>17</v>
      </c>
      <c r="U23" s="771">
        <f>H23</f>
        <v>100</v>
      </c>
      <c r="V23" s="770" t="s">
        <v>17</v>
      </c>
      <c r="W23" s="771">
        <f>J23</f>
        <v>100</v>
      </c>
      <c r="X23" s="772"/>
      <c r="Y23" s="3221"/>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5"/>
      <c r="M24" s="1136"/>
      <c r="N24" s="1136"/>
      <c r="O24" s="1137"/>
      <c r="P24" s="3221"/>
      <c r="Q24" s="1796"/>
      <c r="R24" s="770"/>
      <c r="S24" s="771"/>
      <c r="T24" s="770"/>
      <c r="U24" s="771"/>
      <c r="V24" s="770"/>
      <c r="W24" s="771"/>
      <c r="X24" s="772"/>
      <c r="Y24" s="3221"/>
      <c r="Z24" s="55"/>
      <c r="AA24" s="773">
        <v>1</v>
      </c>
      <c r="AB24" s="773">
        <v>1</v>
      </c>
      <c r="AC24" s="773">
        <v>1</v>
      </c>
    </row>
    <row r="25" spans="1:29" s="117" customFormat="1" ht="41.4">
      <c r="A25" s="649"/>
      <c r="B25" s="633" t="s">
        <v>2655</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6"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5"/>
      <c r="M26" s="1136"/>
      <c r="N26" s="1136"/>
      <c r="O26" s="1137"/>
      <c r="P26" s="3221"/>
      <c r="Q26" s="1796"/>
      <c r="R26" s="770"/>
      <c r="S26" s="771"/>
      <c r="T26" s="770"/>
      <c r="U26" s="771"/>
      <c r="V26" s="770"/>
      <c r="W26" s="771"/>
      <c r="X26" s="772"/>
      <c r="Y26" s="322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1"/>
      <c r="Z27" s="1815" t="str">
        <f t="shared" ref="Z27:Z40" si="13">Q27</f>
        <v>临街状况</v>
      </c>
      <c r="AA27" s="1812">
        <f t="shared" si="3"/>
        <v>1</v>
      </c>
      <c r="AB27" s="1812">
        <f t="shared" si="4"/>
        <v>1</v>
      </c>
      <c r="AC27" s="1812">
        <f t="shared" si="5"/>
        <v>1</v>
      </c>
    </row>
    <row r="28" spans="1:29" ht="28.8">
      <c r="A28" s="428"/>
      <c r="B28" s="633" t="s">
        <v>2691</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1" t="str">
        <f t="shared" si="8"/>
        <v>毗邻道路的类型与等级</v>
      </c>
      <c r="R28" s="774" t="s">
        <v>17</v>
      </c>
      <c r="S28" s="775">
        <f t="shared" si="10"/>
        <v>100</v>
      </c>
      <c r="T28" s="774" t="s">
        <v>17</v>
      </c>
      <c r="U28" s="775">
        <f t="shared" si="11"/>
        <v>100</v>
      </c>
      <c r="V28" s="774" t="s">
        <v>17</v>
      </c>
      <c r="W28" s="775">
        <f t="shared" si="12"/>
        <v>100</v>
      </c>
      <c r="X28" s="1814"/>
      <c r="Y28" s="3221"/>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3"/>
      <c r="M29" s="1134"/>
      <c r="N29" s="1134"/>
      <c r="O29" s="1142"/>
      <c r="P29" s="3221"/>
      <c r="Q29" s="1811"/>
      <c r="R29" s="774"/>
      <c r="S29" s="775"/>
      <c r="T29" s="774"/>
      <c r="U29" s="775"/>
      <c r="V29" s="774"/>
      <c r="W29" s="775"/>
      <c r="X29" s="1814"/>
      <c r="Y29" s="3221"/>
      <c r="Z29" s="1815"/>
      <c r="AA29" s="1812">
        <v>1</v>
      </c>
      <c r="AB29" s="1812">
        <v>1</v>
      </c>
      <c r="AC29" s="1812">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1" t="str">
        <f t="shared" si="8"/>
        <v>土地级别</v>
      </c>
      <c r="R30" s="774" t="s">
        <v>17</v>
      </c>
      <c r="S30" s="775">
        <f t="shared" si="10"/>
        <v>100</v>
      </c>
      <c r="T30" s="774" t="s">
        <v>17</v>
      </c>
      <c r="U30" s="775">
        <f t="shared" si="11"/>
        <v>100</v>
      </c>
      <c r="V30" s="774" t="s">
        <v>17</v>
      </c>
      <c r="W30" s="775">
        <f t="shared" si="12"/>
        <v>100</v>
      </c>
      <c r="X30" s="1814"/>
      <c r="Y30" s="3221"/>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1">
        <f t="shared" si="8"/>
        <v>111</v>
      </c>
      <c r="R31" s="774" t="s">
        <v>17</v>
      </c>
      <c r="S31" s="775">
        <f t="shared" si="10"/>
        <v>100</v>
      </c>
      <c r="T31" s="774" t="s">
        <v>17</v>
      </c>
      <c r="U31" s="775">
        <f t="shared" si="11"/>
        <v>100</v>
      </c>
      <c r="V31" s="774" t="s">
        <v>17</v>
      </c>
      <c r="W31" s="775">
        <f t="shared" si="12"/>
        <v>100</v>
      </c>
      <c r="X31" s="1814"/>
      <c r="Y31" s="3221"/>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4" t="s">
        <v>2565</v>
      </c>
      <c r="Q32" s="1811">
        <f t="shared" si="8"/>
        <v>111</v>
      </c>
      <c r="R32" s="774" t="s">
        <v>17</v>
      </c>
      <c r="S32" s="775">
        <f t="shared" si="10"/>
        <v>100</v>
      </c>
      <c r="T32" s="774" t="s">
        <v>17</v>
      </c>
      <c r="U32" s="775">
        <f t="shared" si="11"/>
        <v>100</v>
      </c>
      <c r="V32" s="774" t="s">
        <v>17</v>
      </c>
      <c r="W32" s="775">
        <f t="shared" si="12"/>
        <v>100</v>
      </c>
      <c r="X32" s="1814"/>
      <c r="Y32" s="3225" t="s">
        <v>2565</v>
      </c>
      <c r="Z32" s="1815">
        <f t="shared" si="13"/>
        <v>111</v>
      </c>
      <c r="AA32" s="1812">
        <f t="shared" si="3"/>
        <v>1</v>
      </c>
      <c r="AB32" s="1812">
        <f t="shared" si="4"/>
        <v>1</v>
      </c>
      <c r="AC32" s="1812">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1">
        <f t="shared" si="8"/>
        <v>111</v>
      </c>
      <c r="R33" s="777" t="s">
        <v>17</v>
      </c>
      <c r="S33" s="778">
        <f t="shared" si="10"/>
        <v>100</v>
      </c>
      <c r="T33" s="777" t="s">
        <v>17</v>
      </c>
      <c r="U33" s="778">
        <f t="shared" si="11"/>
        <v>100</v>
      </c>
      <c r="V33" s="777" t="s">
        <v>17</v>
      </c>
      <c r="W33" s="778">
        <f t="shared" si="12"/>
        <v>100</v>
      </c>
      <c r="X33" s="779"/>
      <c r="Y33" s="3225"/>
      <c r="Z33" s="780">
        <f t="shared" si="13"/>
        <v>111</v>
      </c>
      <c r="AA33" s="1812">
        <f t="shared" si="3"/>
        <v>1</v>
      </c>
      <c r="AB33" s="1812">
        <f t="shared" si="4"/>
        <v>1</v>
      </c>
      <c r="AC33" s="181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1" t="str">
        <f>B34</f>
        <v>宗地面积</v>
      </c>
      <c r="R34" s="774" t="s">
        <v>17</v>
      </c>
      <c r="S34" s="775" t="e">
        <f t="shared" si="10"/>
        <v>#N/A</v>
      </c>
      <c r="T34" s="774" t="s">
        <v>17</v>
      </c>
      <c r="U34" s="775" t="e">
        <f t="shared" si="11"/>
        <v>#N/A</v>
      </c>
      <c r="V34" s="774" t="s">
        <v>17</v>
      </c>
      <c r="W34" s="775" t="e">
        <f t="shared" si="12"/>
        <v>#N/A</v>
      </c>
      <c r="X34" s="1814"/>
      <c r="Y34" s="3225"/>
      <c r="Z34" s="1815" t="str">
        <f t="shared" si="13"/>
        <v>宗地面积</v>
      </c>
      <c r="AA34" s="1812" t="e">
        <f t="shared" si="3"/>
        <v>#N/A</v>
      </c>
      <c r="AB34" s="1812" t="e">
        <f t="shared" si="4"/>
        <v>#N/A</v>
      </c>
      <c r="AC34" s="1812" t="e">
        <f t="shared" si="5"/>
        <v>#N/A</v>
      </c>
    </row>
    <row r="35" spans="1:29" ht="15">
      <c r="A35" s="472"/>
      <c r="B35" s="422" t="s">
        <v>2752</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5"/>
      <c r="Q35" s="1811" t="str">
        <f t="shared" ref="Q35:Q40" si="14">B35</f>
        <v>宗地形状</v>
      </c>
      <c r="R35" s="774" t="s">
        <v>17</v>
      </c>
      <c r="S35" s="775">
        <f t="shared" si="10"/>
        <v>100</v>
      </c>
      <c r="T35" s="774" t="s">
        <v>17</v>
      </c>
      <c r="U35" s="775">
        <f t="shared" si="11"/>
        <v>100</v>
      </c>
      <c r="V35" s="774" t="s">
        <v>17</v>
      </c>
      <c r="W35" s="775">
        <f t="shared" si="12"/>
        <v>100</v>
      </c>
      <c r="X35" s="1814"/>
      <c r="Y35" s="3225"/>
      <c r="Z35" s="1815" t="str">
        <f t="shared" si="13"/>
        <v>宗地形状</v>
      </c>
      <c r="AA35" s="1812">
        <f t="shared" si="3"/>
        <v>1</v>
      </c>
      <c r="AB35" s="1812">
        <f t="shared" si="4"/>
        <v>1</v>
      </c>
      <c r="AC35" s="1812">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5"/>
      <c r="Q36" s="1811"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2755</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5" t="s">
        <v>2565</v>
      </c>
      <c r="Q37" s="1811" t="str">
        <f t="shared" si="14"/>
        <v>工程地质条件</v>
      </c>
      <c r="R37" s="774" t="s">
        <v>17</v>
      </c>
      <c r="S37" s="775">
        <f t="shared" si="10"/>
        <v>100</v>
      </c>
      <c r="T37" s="774" t="s">
        <v>17</v>
      </c>
      <c r="U37" s="775">
        <f t="shared" si="11"/>
        <v>100</v>
      </c>
      <c r="V37" s="774" t="s">
        <v>17</v>
      </c>
      <c r="W37" s="775">
        <f t="shared" si="12"/>
        <v>100</v>
      </c>
      <c r="X37" s="1814"/>
      <c r="Y37" s="3225" t="s">
        <v>2565</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1">
        <f t="shared" si="14"/>
        <v>111</v>
      </c>
      <c r="R38" s="774" t="s">
        <v>17</v>
      </c>
      <c r="S38" s="775">
        <f t="shared" si="10"/>
        <v>100</v>
      </c>
      <c r="T38" s="774" t="s">
        <v>17</v>
      </c>
      <c r="U38" s="775">
        <f t="shared" si="11"/>
        <v>100</v>
      </c>
      <c r="V38" s="774" t="s">
        <v>17</v>
      </c>
      <c r="W38" s="775">
        <f t="shared" si="12"/>
        <v>100</v>
      </c>
      <c r="X38" s="1814"/>
      <c r="Y38" s="3225"/>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1">
        <f t="shared" si="14"/>
        <v>111</v>
      </c>
      <c r="R39" s="774" t="s">
        <v>17</v>
      </c>
      <c r="S39" s="775">
        <f t="shared" si="10"/>
        <v>100</v>
      </c>
      <c r="T39" s="774" t="s">
        <v>17</v>
      </c>
      <c r="U39" s="775">
        <f t="shared" si="11"/>
        <v>100</v>
      </c>
      <c r="V39" s="774" t="s">
        <v>17</v>
      </c>
      <c r="W39" s="775">
        <f t="shared" si="12"/>
        <v>100</v>
      </c>
      <c r="X39" s="1814"/>
      <c r="Y39" s="3225"/>
      <c r="Z39" s="1815">
        <f t="shared" si="13"/>
        <v>111</v>
      </c>
      <c r="AA39" s="1812">
        <f t="shared" si="3"/>
        <v>1</v>
      </c>
      <c r="AB39" s="1812">
        <f t="shared" si="4"/>
        <v>1</v>
      </c>
      <c r="AC39" s="1812">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1">
        <f t="shared" si="14"/>
        <v>111</v>
      </c>
      <c r="R40" s="777" t="s">
        <v>17</v>
      </c>
      <c r="S40" s="778">
        <f t="shared" si="10"/>
        <v>100</v>
      </c>
      <c r="T40" s="777" t="s">
        <v>17</v>
      </c>
      <c r="U40" s="778">
        <f t="shared" si="11"/>
        <v>100</v>
      </c>
      <c r="V40" s="777" t="s">
        <v>17</v>
      </c>
      <c r="W40" s="778">
        <f t="shared" si="12"/>
        <v>100</v>
      </c>
      <c r="X40" s="779"/>
      <c r="Y40" s="3225"/>
      <c r="Z40" s="780">
        <f t="shared" si="13"/>
        <v>111</v>
      </c>
      <c r="AA40" s="1812">
        <f t="shared" si="3"/>
        <v>1</v>
      </c>
      <c r="AB40" s="1812">
        <f t="shared" si="4"/>
        <v>1</v>
      </c>
      <c r="AC40" s="1812">
        <f t="shared" si="5"/>
        <v>1</v>
      </c>
    </row>
    <row r="41" spans="1:29" ht="14.4">
      <c r="A41" s="479" t="s">
        <v>2720</v>
      </c>
      <c r="B41" s="2709" t="s">
        <v>2799</v>
      </c>
      <c r="C41" s="682" t="s">
        <v>1</v>
      </c>
      <c r="D41" s="481"/>
      <c r="E41" s="482"/>
      <c r="F41" s="483"/>
      <c r="G41" s="484"/>
      <c r="H41" s="485"/>
      <c r="I41" s="482"/>
      <c r="J41" s="485"/>
      <c r="K41" s="783"/>
      <c r="L41" s="1146"/>
      <c r="M41" s="1134"/>
      <c r="N41" s="1134"/>
      <c r="O41" s="1147"/>
      <c r="P41" s="3218" t="str">
        <f>A41</f>
        <v>成交单价</v>
      </c>
      <c r="Q41" s="3218"/>
      <c r="R41" s="3213">
        <f>E41</f>
        <v>0</v>
      </c>
      <c r="S41" s="3213"/>
      <c r="T41" s="3213">
        <f>G41</f>
        <v>0</v>
      </c>
      <c r="U41" s="3213"/>
      <c r="V41" s="3213">
        <f>I41</f>
        <v>0</v>
      </c>
      <c r="W41" s="3213"/>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46" t="e">
        <f>ROUND(AVERAGE(R42:V42),0)</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10" t="s">
        <v>2760</v>
      </c>
      <c r="D50" s="2711" t="s">
        <v>2761</v>
      </c>
      <c r="E50" s="686" t="s">
        <v>2762</v>
      </c>
      <c r="F50" s="687" t="s">
        <v>2763</v>
      </c>
      <c r="G50" s="3201" t="s">
        <v>2764</v>
      </c>
      <c r="H50" s="3247"/>
      <c r="I50" s="1815" t="s">
        <v>2800</v>
      </c>
      <c r="J50" s="1815" t="str">
        <f>项目基本情况!F35</f>
        <v xml:space="preserve"> 海南省海口市</v>
      </c>
      <c r="K50" s="2713" t="s">
        <v>2766</v>
      </c>
      <c r="L50" s="1109"/>
      <c r="M50" s="1147"/>
      <c r="N50" s="1147"/>
      <c r="O50" s="1147"/>
    </row>
    <row r="51" spans="1:17" s="692" customFormat="1">
      <c r="A51" s="688" t="s">
        <v>2767</v>
      </c>
      <c r="B51" s="689" t="e">
        <f>C43</f>
        <v>#DIV/0!</v>
      </c>
      <c r="C51" s="690">
        <v>1</v>
      </c>
      <c r="D51" s="1166">
        <v>1</v>
      </c>
      <c r="E51" s="690">
        <f>'数据-汇总表'!E8+'数据-汇总表'!E9</f>
        <v>95571.22</v>
      </c>
      <c r="F51" s="691" t="e">
        <f t="shared" ref="F51:F60" si="15">ROUND(B51*E51/10000,0)</f>
        <v>#DIV/0!</v>
      </c>
      <c r="G51" s="3200"/>
      <c r="H51" s="3218"/>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48"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48"/>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48"/>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48"/>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4.4"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1026</v>
      </c>
      <c r="E61" s="696">
        <f>IF(B41="楼面地价",SUM(E51:E60),'数据-汇总表'!D3)</f>
        <v>3794.16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6" t="s">
        <v>2782</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21" t="s">
        <v>2801</v>
      </c>
      <c r="B66" s="332" t="str">
        <f>"北京市平均增长率"&amp;TEXT(基准地价修正!P24,"0.00%")</f>
        <v>北京市平均增长率1.36%</v>
      </c>
      <c r="C66" s="603">
        <v>100</v>
      </c>
      <c r="D66" s="595"/>
      <c r="E66" s="595"/>
      <c r="F66" s="595"/>
      <c r="G66" s="595"/>
      <c r="H66" s="595"/>
      <c r="I66" s="595"/>
      <c r="J66" s="595"/>
      <c r="K66" s="595"/>
      <c r="L66" s="595"/>
      <c r="M66" s="1569"/>
      <c r="N66" s="1569"/>
      <c r="O66" s="1570"/>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2691</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6" t="s">
        <v>3004</v>
      </c>
    </row>
    <row r="2" spans="1:5" ht="15.6">
      <c r="A2" s="2915" t="s">
        <v>2996</v>
      </c>
      <c r="B2" s="2916" t="e">
        <f ca="1">SUMIF(B6:B13,"&lt;&gt;#ref!",B6:B13)</f>
        <v>#DIV/0!</v>
      </c>
      <c r="C2" s="2915" t="s">
        <v>2997</v>
      </c>
      <c r="D2" s="2915" t="s">
        <v>2998</v>
      </c>
      <c r="E2" s="2916">
        <f ca="1">SUMIF(E6:E13,"&lt;&gt;#ref!",E6:E13)</f>
        <v>0</v>
      </c>
    </row>
    <row r="3" spans="1:5" ht="15.6">
      <c r="A3" s="2915" t="s">
        <v>2999</v>
      </c>
      <c r="B3" s="2916" t="e">
        <f ca="1">ROUND(B2*10000/E2,0)</f>
        <v>#DIV/0!</v>
      </c>
      <c r="C3" s="2915" t="s">
        <v>3005</v>
      </c>
      <c r="D3" s="2917"/>
      <c r="E3" s="2917"/>
    </row>
    <row r="4" spans="1:5" ht="15.6">
      <c r="A4" s="2918"/>
      <c r="B4" s="2917"/>
      <c r="C4" s="2917"/>
      <c r="D4" s="2917"/>
      <c r="E4" s="2917"/>
    </row>
    <row r="5" spans="1:5" ht="31.2">
      <c r="A5" s="2919" t="s">
        <v>3000</v>
      </c>
      <c r="B5" s="2915" t="s">
        <v>3001</v>
      </c>
      <c r="C5" s="2916"/>
      <c r="D5" s="2917"/>
      <c r="E5" s="2915" t="s">
        <v>3002</v>
      </c>
    </row>
    <row r="6" spans="1:5" ht="15.6">
      <c r="A6" s="2920" t="s">
        <v>3003</v>
      </c>
      <c r="B6" s="2916" t="e">
        <f ca="1">SUMIF(INDIRECT("'"&amp;A6&amp;"'"&amp;"!A:A"),"总价",INDIRECT("'"&amp;A6&amp;"'"&amp;"!B:B"))</f>
        <v>#DIV/0!</v>
      </c>
      <c r="C6" s="2915" t="s">
        <v>2997</v>
      </c>
      <c r="D6" s="2917"/>
      <c r="E6" s="2580">
        <f ca="1">SUMIF(INDIRECT("'"&amp;A6&amp;"'"&amp;"!C:C"),"建筑面积",INDIRECT("'"&amp;A6&amp;"'"&amp;"!D:D"))</f>
        <v>0</v>
      </c>
    </row>
    <row r="7" spans="1:5" ht="15.6">
      <c r="A7" s="2920"/>
      <c r="B7" s="2916" t="e">
        <f ca="1">SUMIF(INDIRECT("'"&amp;A7&amp;"'"&amp;"!A:A"),"总价",INDIRECT("'"&amp;A7&amp;"'"&amp;"!B:B"))</f>
        <v>#REF!</v>
      </c>
      <c r="C7" s="2915" t="s">
        <v>2997</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2997</v>
      </c>
      <c r="D8" s="2917"/>
      <c r="E8" s="2580" t="e">
        <f t="shared" ca="1" si="0"/>
        <v>#REF!</v>
      </c>
    </row>
    <row r="9" spans="1:5" ht="15.6">
      <c r="A9" s="2920"/>
      <c r="B9" s="2916" t="e">
        <f t="shared" ca="1" si="1"/>
        <v>#REF!</v>
      </c>
      <c r="C9" s="2915" t="s">
        <v>2997</v>
      </c>
      <c r="D9" s="2917"/>
      <c r="E9" s="2580" t="e">
        <f t="shared" ca="1" si="0"/>
        <v>#REF!</v>
      </c>
    </row>
    <row r="10" spans="1:5" ht="15.6">
      <c r="A10" s="2920"/>
      <c r="B10" s="2916" t="e">
        <f t="shared" ca="1" si="1"/>
        <v>#REF!</v>
      </c>
      <c r="C10" s="2915" t="s">
        <v>2997</v>
      </c>
      <c r="D10" s="2917"/>
      <c r="E10" s="2580" t="e">
        <f t="shared" ca="1" si="0"/>
        <v>#REF!</v>
      </c>
    </row>
    <row r="11" spans="1:5" ht="15.6">
      <c r="A11" s="2920"/>
      <c r="B11" s="2916" t="e">
        <f t="shared" ca="1" si="1"/>
        <v>#REF!</v>
      </c>
      <c r="C11" s="2915" t="s">
        <v>2997</v>
      </c>
      <c r="D11" s="2917"/>
      <c r="E11" s="2580" t="e">
        <f t="shared" ca="1" si="0"/>
        <v>#REF!</v>
      </c>
    </row>
    <row r="12" spans="1:5" ht="15.6">
      <c r="A12" s="2920"/>
      <c r="B12" s="2916" t="e">
        <f t="shared" ca="1" si="1"/>
        <v>#REF!</v>
      </c>
      <c r="C12" s="2915" t="s">
        <v>2997</v>
      </c>
      <c r="D12" s="2917"/>
      <c r="E12" s="2580" t="e">
        <f t="shared" ca="1" si="0"/>
        <v>#REF!</v>
      </c>
    </row>
    <row r="13" spans="1:5" ht="15.6">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1617</v>
      </c>
      <c r="B1" s="1960"/>
      <c r="C1" s="1960"/>
      <c r="D1" s="1960"/>
      <c r="E1" s="196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7.399999999999999">
      <c r="A3" s="2973" t="str">
        <f>IF(项目基本情况!B9="房地产市场价值","估价结果一览表（市场价值不需“结果表-1”）","估价结果一览表")</f>
        <v>估价结果一览表（市场价值不需“结果表-1”）</v>
      </c>
      <c r="B3" s="2973"/>
      <c r="C3" s="2973"/>
      <c r="D3" s="2973"/>
      <c r="E3" s="2973"/>
    </row>
    <row r="4" spans="1:5" ht="18" thickBot="1">
      <c r="A4" s="1962"/>
      <c r="B4" s="2971" t="s">
        <v>1626</v>
      </c>
      <c r="C4" s="2971"/>
      <c r="D4" s="2971"/>
      <c r="E4" s="1962"/>
    </row>
    <row r="5" spans="1:5" ht="16.2" thickTop="1">
      <c r="A5" s="1960"/>
      <c r="B5" s="2969" t="s">
        <v>1618</v>
      </c>
      <c r="C5" s="1963" t="s">
        <v>1619</v>
      </c>
      <c r="D5" s="1043">
        <f ca="1">结果表!H101</f>
        <v>180408</v>
      </c>
      <c r="E5" s="1960"/>
    </row>
    <row r="6" spans="1:5" ht="15.6">
      <c r="A6" s="1960"/>
      <c r="B6" s="2969"/>
      <c r="C6" s="1963" t="s">
        <v>1620</v>
      </c>
      <c r="D6" s="1043" t="str">
        <f ca="1">NUMBERSTRING(INT(D5*10000),2)&amp;"元整"</f>
        <v>壹拾捌亿零肆佰零捌万元整</v>
      </c>
      <c r="E6" s="1960"/>
    </row>
    <row r="7" spans="1:5" ht="15.6">
      <c r="A7" s="1960"/>
      <c r="B7" s="2974"/>
      <c r="C7" s="1964" t="s">
        <v>1621</v>
      </c>
      <c r="D7" s="1044">
        <f ca="1">结果表!H102</f>
        <v>13005</v>
      </c>
      <c r="E7" s="1960"/>
    </row>
    <row r="8" spans="1:5" ht="15.6">
      <c r="A8" s="1960"/>
      <c r="B8" s="2975" t="str">
        <f>结果表!E103</f>
        <v>2.估价师知悉的法定优先受偿款</v>
      </c>
      <c r="C8" s="1965" t="s">
        <v>1622</v>
      </c>
      <c r="D8" s="1044">
        <f>结果表!H103</f>
        <v>0</v>
      </c>
      <c r="E8" s="1960"/>
    </row>
    <row r="9" spans="1:5" ht="15.6">
      <c r="A9" s="1960"/>
      <c r="B9" s="2977"/>
      <c r="C9" s="1963" t="s">
        <v>1620</v>
      </c>
      <c r="D9" s="1043" t="str">
        <f>NUMBERSTRING(INT(D8*10000),2)&amp;"元整"</f>
        <v>零元整</v>
      </c>
      <c r="E9" s="1960"/>
    </row>
    <row r="10" spans="1:5" ht="15.6">
      <c r="A10" s="1960"/>
      <c r="B10" s="1966" t="s">
        <v>1625</v>
      </c>
      <c r="C10" s="1967" t="s">
        <v>1623</v>
      </c>
      <c r="D10" s="1045">
        <f>结果表!H104</f>
        <v>0</v>
      </c>
      <c r="E10" s="1960"/>
    </row>
    <row r="11" spans="1:5" ht="15.6">
      <c r="A11" s="1960"/>
      <c r="B11" s="1966" t="s">
        <v>1627</v>
      </c>
      <c r="C11" s="1967" t="s">
        <v>1628</v>
      </c>
      <c r="D11" s="1045">
        <f>结果表!H105</f>
        <v>0</v>
      </c>
      <c r="E11" s="1960"/>
    </row>
    <row r="12" spans="1:5" ht="15.6">
      <c r="A12" s="1960"/>
      <c r="B12" s="1966" t="s">
        <v>1629</v>
      </c>
      <c r="C12" s="1967" t="s">
        <v>1628</v>
      </c>
      <c r="D12" s="1045">
        <f>结果表!H106</f>
        <v>0</v>
      </c>
      <c r="E12" s="1960"/>
    </row>
    <row r="13" spans="1:5" ht="15.6">
      <c r="A13" s="1960"/>
      <c r="B13" s="2968" t="str">
        <f>结果表!E107</f>
        <v>3.房地产抵押价值</v>
      </c>
      <c r="C13" s="1968" t="s">
        <v>1619</v>
      </c>
      <c r="D13" s="1046">
        <f ca="1">结果表!H107</f>
        <v>180408</v>
      </c>
      <c r="E13" s="1960"/>
    </row>
    <row r="14" spans="1:5" ht="15.6">
      <c r="A14" s="1960"/>
      <c r="B14" s="2969"/>
      <c r="C14" s="1963" t="s">
        <v>1620</v>
      </c>
      <c r="D14" s="1043" t="str">
        <f ca="1">NUMBERSTRING(INT(D13*10000),2)&amp;"元整"</f>
        <v>壹拾捌亿零肆佰零捌万元整</v>
      </c>
      <c r="E14" s="1960"/>
    </row>
    <row r="15" spans="1:5" ht="15.6">
      <c r="A15" s="1960"/>
      <c r="B15" s="2974"/>
      <c r="C15" s="1964" t="s">
        <v>1630</v>
      </c>
      <c r="D15" s="1055">
        <f ca="1">结果表!H108</f>
        <v>13005</v>
      </c>
      <c r="E15" s="1960"/>
    </row>
    <row r="16" spans="1:5" ht="15.6">
      <c r="A16" s="1960"/>
      <c r="B16" s="2975" t="str">
        <f>结果表!E109</f>
        <v>——</v>
      </c>
      <c r="C16" s="1968" t="s">
        <v>1631</v>
      </c>
      <c r="D16" s="1969" t="str">
        <f>结果表!H109</f>
        <v>——</v>
      </c>
      <c r="E16" s="1960"/>
    </row>
    <row r="17" spans="1:5" ht="15.6">
      <c r="A17" s="1960"/>
      <c r="B17" s="2976"/>
      <c r="C17" s="1963" t="s">
        <v>1632</v>
      </c>
      <c r="D17" s="1043" t="e">
        <f>NUMBERSTRING(INT(D16*10000),2)&amp;"元整"</f>
        <v>#VALUE!</v>
      </c>
      <c r="E17" s="1960"/>
    </row>
    <row r="18" spans="1:5" ht="15.6">
      <c r="A18" s="1960"/>
      <c r="B18" s="2977"/>
      <c r="C18" s="1964" t="s">
        <v>1621</v>
      </c>
      <c r="D18" s="1055" t="str">
        <f>结果表!H110</f>
        <v>——</v>
      </c>
      <c r="E18" s="1960"/>
    </row>
    <row r="19" spans="1:5" ht="15.6">
      <c r="A19" s="1960"/>
      <c r="B19" s="2968" t="str">
        <f>结果表!E111</f>
        <v>——</v>
      </c>
      <c r="C19" s="1968" t="s">
        <v>1619</v>
      </c>
      <c r="D19" s="1044" t="str">
        <f>结果表!H111</f>
        <v>——</v>
      </c>
      <c r="E19" s="1960"/>
    </row>
    <row r="20" spans="1:5" ht="15.6">
      <c r="A20" s="1960"/>
      <c r="B20" s="2969"/>
      <c r="C20" s="1963" t="s">
        <v>1632</v>
      </c>
      <c r="D20" s="1043" t="e">
        <f>NUMBERSTRING(INT(D19*10000),2)&amp;"元整"</f>
        <v>#VALUE!</v>
      </c>
      <c r="E20" s="1960"/>
    </row>
    <row r="21" spans="1:5" ht="16.2" thickBot="1">
      <c r="A21" s="1960"/>
      <c r="B21" s="2970"/>
      <c r="C21" s="1970" t="s">
        <v>1630</v>
      </c>
      <c r="D21" s="1056" t="str">
        <f>结果表!H112</f>
        <v>——</v>
      </c>
      <c r="E21" s="1960"/>
    </row>
    <row r="22" spans="1:5" ht="14.4" thickTop="1">
      <c r="A22" s="1960"/>
      <c r="B22" s="1971" t="s">
        <v>1633</v>
      </c>
      <c r="C22" s="1960"/>
      <c r="D22" s="1960"/>
      <c r="E22" s="1960"/>
    </row>
    <row r="23" spans="1:5">
      <c r="A23" s="1960"/>
      <c r="B23" s="1960"/>
      <c r="C23" s="1960"/>
      <c r="D23" s="1960"/>
      <c r="E23" s="1960"/>
    </row>
    <row r="24" spans="1:5" ht="17.399999999999999">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9" t="s">
        <v>1146</v>
      </c>
      <c r="C1" s="3279"/>
      <c r="D1" s="3279"/>
      <c r="E1" s="3279"/>
      <c r="F1" s="3279"/>
      <c r="G1" s="3275" t="s">
        <v>1147</v>
      </c>
      <c r="H1" s="3275"/>
      <c r="I1" s="3275"/>
      <c r="J1" s="3275"/>
      <c r="K1" s="3275"/>
      <c r="L1" s="3275"/>
      <c r="N1" s="3275" t="s">
        <v>1148</v>
      </c>
      <c r="O1" s="3275"/>
      <c r="P1" s="3275"/>
      <c r="Q1" s="3275"/>
      <c r="R1" s="1448"/>
      <c r="S1" s="3275" t="s">
        <v>1149</v>
      </c>
      <c r="T1" s="3275"/>
      <c r="U1" s="3275"/>
      <c r="V1" s="3275"/>
      <c r="X1" s="3274" t="s">
        <v>1150</v>
      </c>
      <c r="Y1" s="3275"/>
      <c r="Z1" s="3275"/>
      <c r="AA1" s="3275"/>
      <c r="AB1" s="3275"/>
      <c r="AD1" s="3274" t="s">
        <v>1151</v>
      </c>
      <c r="AE1" s="3275"/>
      <c r="AF1" s="3275"/>
      <c r="AG1" s="3275"/>
      <c r="AH1" s="3275"/>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4">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2019</v>
      </c>
      <c r="H5" s="1731">
        <v>1</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0" t="s">
        <v>3040</v>
      </c>
      <c r="X5" s="1727">
        <f>ROUND(IF(项目基本情况!B8="出让",SUMPRODUCT(PRODUCT(1+N5:N$25)),SUMPRODUCT(PRODUCT(1+N5:N$24))),4)</f>
        <v>1.4956</v>
      </c>
      <c r="Y5" s="1727">
        <f>ROUND(IF(项目基本情况!B8="出让",SUMPRODUCT(PRODUCT(1+O5:O$25)),SUMPRODUCT(PRODUCT(1+O5:O$24))),4)</f>
        <v>1.3237000000000001</v>
      </c>
      <c r="Z5" s="1727">
        <f t="shared" ref="Z5" si="10">Y5</f>
        <v>1.3237000000000001</v>
      </c>
      <c r="AA5" s="1727">
        <f>ROUND(IF(项目基本情况!B8="出让",SUMPRODUCT(PRODUCT(1+P5:P$25)),SUMPRODUCT(PRODUCT(1+P5:P$24))),4)</f>
        <v>1.554</v>
      </c>
      <c r="AB5" s="1727">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77">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1"/>
      <c r="X6" s="1789">
        <f>ROUND(SUMPRODUCT(PRODUCT(1+N6:N$24)),4)</f>
        <v>1.4956</v>
      </c>
      <c r="Y6" s="1789">
        <f>ROUND(SUMPRODUCT(PRODUCT(1+O6:O$24)),4)</f>
        <v>1.3237000000000001</v>
      </c>
      <c r="Z6" s="1789">
        <f t="shared" ref="Z6" si="20">Y6</f>
        <v>1.3237000000000001</v>
      </c>
      <c r="AA6" s="1789">
        <f>ROUND(SUMPRODUCT(PRODUCT(1+P6:P$24)),4)</f>
        <v>1.554</v>
      </c>
      <c r="AB6" s="1789">
        <f>ROUND(SUMPRODUCT(PRODUCT(1+Q6:Q$24)),4)</f>
        <v>1.3087</v>
      </c>
      <c r="AC6" s="1791"/>
      <c r="AD6" s="1790">
        <f>ROUND(AVERAGE(I6:I$25)/100,4)</f>
        <v>2.1899999999999999E-2</v>
      </c>
      <c r="AE6" s="1790">
        <f>ROUND(AVERAGE(J6:J$25)/100,4)</f>
        <v>1.5299999999999999E-2</v>
      </c>
      <c r="AF6" s="1790">
        <f t="shared" ref="AF6" si="21">AE6</f>
        <v>1.5299999999999999E-2</v>
      </c>
      <c r="AG6" s="1790">
        <f>ROUND(AVERAGE(K6:K$25)/100,4)</f>
        <v>2.41E-2</v>
      </c>
      <c r="AH6" s="1790">
        <f>ROUND(AVERAGE(L6:L$25)/100,4)</f>
        <v>1.4200000000000001E-2</v>
      </c>
    </row>
    <row r="7" spans="1:34" s="1468" customFormat="1" ht="14.4"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3035</v>
      </c>
      <c r="B10" s="1471">
        <v>439</v>
      </c>
      <c r="C10" s="1471">
        <v>327</v>
      </c>
      <c r="D10" s="1471">
        <f>C10</f>
        <v>327</v>
      </c>
      <c r="E10" s="1471">
        <v>627</v>
      </c>
      <c r="F10" s="1472">
        <v>283</v>
      </c>
      <c r="G10" s="328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7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8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28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7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7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8" thickBot="1">
      <c r="A26" s="1463" t="s">
        <v>1159</v>
      </c>
      <c r="B26" s="1471">
        <v>299</v>
      </c>
      <c r="C26" s="1471">
        <v>252</v>
      </c>
      <c r="D26" s="1471">
        <f t="shared" si="74"/>
        <v>252</v>
      </c>
      <c r="E26" s="1471">
        <v>409</v>
      </c>
      <c r="F26" s="1472">
        <v>227</v>
      </c>
      <c r="G26" s="328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8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8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7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7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7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7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7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7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7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7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7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7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7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7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7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7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7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7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7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7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7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7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7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7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7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7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7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7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7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7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7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7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77">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78">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7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7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77">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78">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6" t="s">
        <v>3007</v>
      </c>
      <c r="D1" s="3287"/>
      <c r="E1" s="3287"/>
      <c r="F1" s="3287"/>
      <c r="G1" s="3287"/>
      <c r="H1" s="3287"/>
      <c r="I1" s="3287"/>
      <c r="J1" s="3287"/>
      <c r="K1" s="3287"/>
      <c r="L1" s="3287"/>
      <c r="M1" s="3287"/>
      <c r="N1" s="3287"/>
      <c r="O1" s="3287"/>
      <c r="P1" s="3287"/>
      <c r="Q1" s="3287"/>
      <c r="R1" s="3287"/>
      <c r="S1" s="3288"/>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3010</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3011</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3012</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3"/>
      <c r="F19" s="1793"/>
      <c r="G19" s="1793"/>
      <c r="H19" s="1283"/>
      <c r="I19" s="168"/>
      <c r="J19" s="168"/>
      <c r="K19" s="168"/>
      <c r="L19" s="168"/>
      <c r="M19" s="168"/>
      <c r="N19" s="168"/>
      <c r="O19" s="168"/>
      <c r="P19" s="168"/>
      <c r="Q19" s="168"/>
      <c r="R19" s="788"/>
      <c r="S19" s="138"/>
    </row>
    <row r="20" spans="1:45" ht="16.2" thickBot="1">
      <c r="A20" s="715" t="s">
        <v>3019</v>
      </c>
      <c r="B20" s="338" t="e">
        <f ca="1">IF(D20="——",S22,S22-F20)</f>
        <v>#REF!</v>
      </c>
      <c r="C20" s="168"/>
      <c r="D20" s="2924" t="s">
        <v>3020</v>
      </c>
      <c r="E20" s="1794"/>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6">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8" t="s">
        <v>33</v>
      </c>
      <c r="D22" s="3069"/>
      <c r="E22" s="3069"/>
      <c r="F22" s="3069"/>
      <c r="G22" s="3069"/>
      <c r="H22" s="3069"/>
      <c r="I22" s="3069"/>
      <c r="J22" s="3069"/>
      <c r="K22" s="3069"/>
      <c r="L22" s="3069"/>
      <c r="M22" s="3069"/>
      <c r="N22" s="3069"/>
      <c r="O22" s="3069"/>
      <c r="P22" s="3069"/>
      <c r="Q22" s="328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175736</v>
      </c>
      <c r="C2" s="2" t="s">
        <v>133</v>
      </c>
      <c r="D2" s="243"/>
      <c r="E2" s="243"/>
      <c r="F2" s="243"/>
      <c r="G2" s="243"/>
    </row>
    <row r="3" spans="1:7" s="244" customFormat="1" ht="18" customHeight="1" thickBot="1">
      <c r="A3" s="247" t="s">
        <v>85</v>
      </c>
      <c r="B3" s="248">
        <f ca="1">ROUND(B2*10000/'数据-汇总表'!E3,0)</f>
        <v>12668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3052</v>
      </c>
      <c r="D10" s="1035">
        <f>'数据-汇总表'!E6</f>
        <v>138723.22</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2774</v>
      </c>
      <c r="D19" s="1039">
        <f>'数据-汇总表'!E3</f>
        <v>138723.22</v>
      </c>
      <c r="E19" s="255">
        <f>'数据-取费表'!B31</f>
        <v>200</v>
      </c>
      <c r="F19" s="275"/>
      <c r="G19" s="1" t="s">
        <v>1071</v>
      </c>
    </row>
    <row r="20" spans="1:7" s="258" customFormat="1" ht="13.5" customHeight="1">
      <c r="A20" s="951" t="s">
        <v>1054</v>
      </c>
      <c r="B20" s="254" t="s">
        <v>104</v>
      </c>
      <c r="C20" s="276">
        <f>ROUND((C5+C19)*F20,0)</f>
        <v>468</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2904</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341</v>
      </c>
      <c r="D24" s="282"/>
      <c r="E24" s="282"/>
      <c r="F24" s="283"/>
      <c r="G24" s="284" t="s">
        <v>109</v>
      </c>
    </row>
    <row r="25" spans="1:7" s="258" customFormat="1" ht="24">
      <c r="A25" s="954" t="s">
        <v>793</v>
      </c>
      <c r="B25" s="259" t="s">
        <v>1055</v>
      </c>
      <c r="C25" s="1358">
        <f ca="1">ROUND(IF('数据-取费表'!B22&lt;=1,C20*F22*'数据-取费表'!B23/2,C20*(POWER((1+F22),'数据-取费表'!B23/2)-1)),0)</f>
        <v>28</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6.4">
      <c r="A27" s="951" t="s">
        <v>787</v>
      </c>
      <c r="B27" s="288" t="s">
        <v>112</v>
      </c>
      <c r="C27" s="289">
        <f>C28</f>
        <v>4293</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4293</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33681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103562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94636</v>
      </c>
      <c r="D34" s="261"/>
      <c r="E34" s="264"/>
      <c r="F34" s="301">
        <f>IF('数据-取费表'!B24=0,1,'数据-取费表'!N16)</f>
        <v>1</v>
      </c>
      <c r="G34" s="263" t="s">
        <v>116</v>
      </c>
    </row>
    <row r="35" spans="1:7" ht="13.5" customHeight="1">
      <c r="A35" s="954" t="s">
        <v>796</v>
      </c>
      <c r="B35" s="259" t="s">
        <v>60</v>
      </c>
      <c r="C35" s="264">
        <f>ROUND(C34*F35,0)</f>
        <v>4732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2774</v>
      </c>
      <c r="D37" s="261">
        <f>'数据-汇总表'!E3</f>
        <v>138723.22</v>
      </c>
      <c r="E37" s="293">
        <f>'数据-取费表'!B35</f>
        <v>200</v>
      </c>
      <c r="F37" s="303"/>
      <c r="G37" s="305" t="s">
        <v>119</v>
      </c>
    </row>
    <row r="38" spans="1:7" ht="13.5" customHeight="1">
      <c r="A38" s="954" t="s">
        <v>799</v>
      </c>
      <c r="B38" s="259" t="s">
        <v>63</v>
      </c>
      <c r="C38" s="264">
        <f>ROUND(C34*F38,0)</f>
        <v>1420</v>
      </c>
      <c r="D38" s="264"/>
      <c r="E38" s="264"/>
      <c r="F38" s="303">
        <f>'数据-取费表'!B36</f>
        <v>1.4999999999999999E-2</v>
      </c>
      <c r="G38" s="263" t="s">
        <v>117</v>
      </c>
    </row>
    <row r="39" spans="1:7" s="258" customFormat="1" ht="13.5" customHeight="1">
      <c r="A39" s="951" t="s">
        <v>783</v>
      </c>
      <c r="B39" s="254" t="s">
        <v>104</v>
      </c>
      <c r="C39" s="276">
        <f>ROUND(C33*F20,0)</f>
        <v>2071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6309</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6185</v>
      </c>
      <c r="D42" s="282"/>
      <c r="E42" s="282"/>
      <c r="F42" s="283"/>
      <c r="G42" s="3153" t="s">
        <v>121</v>
      </c>
    </row>
    <row r="43" spans="1:7" ht="13.5" customHeight="1">
      <c r="A43" s="954" t="s">
        <v>792</v>
      </c>
      <c r="B43" s="259" t="s">
        <v>1061</v>
      </c>
      <c r="C43" s="282">
        <f ca="1">ROUND(IF('数据-取费表'!B22&lt;=1,C39*F22*'数据-取费表'!B21/2,C39*(POWER((1+F22),'数据-取费表'!B21/2)-1)),0)</f>
        <v>124</v>
      </c>
      <c r="D43" s="282"/>
      <c r="E43" s="282"/>
      <c r="F43" s="283"/>
      <c r="G43" s="3154"/>
    </row>
    <row r="44" spans="1:7" ht="13.5" customHeight="1">
      <c r="A44" s="954" t="s">
        <v>793</v>
      </c>
      <c r="B44" s="259" t="s">
        <v>1063</v>
      </c>
      <c r="C44" s="282">
        <f ca="1">ROUND(IF('数据-取费表'!B22&lt;=1,C40*F22*'数据-取费表'!B21/2,C40*(POWER((1+F22),'数据-取费表'!B21/2)-1)),4)</f>
        <v>1.1999999999999999E-3</v>
      </c>
      <c r="D44" s="282"/>
      <c r="E44" s="282"/>
      <c r="F44" s="283"/>
      <c r="G44" s="3155"/>
    </row>
    <row r="45" spans="1:7" s="258" customFormat="1" ht="13.5" customHeight="1">
      <c r="A45" s="951" t="s">
        <v>786</v>
      </c>
      <c r="B45" s="288" t="s">
        <v>112</v>
      </c>
      <c r="C45" s="289">
        <f>C46</f>
        <v>19014</v>
      </c>
      <c r="D45" s="279">
        <f>C47</f>
        <v>3.5999999999999999E-3</v>
      </c>
      <c r="E45" s="280" t="s">
        <v>129</v>
      </c>
      <c r="F45" s="290"/>
      <c r="G45" s="291" t="s">
        <v>1069</v>
      </c>
    </row>
    <row r="46" spans="1:7" s="258" customFormat="1" ht="13.5" customHeight="1">
      <c r="A46" s="954" t="s">
        <v>794</v>
      </c>
      <c r="B46" s="292" t="s">
        <v>1062</v>
      </c>
      <c r="C46" s="293">
        <f>ROUND((C33+C39)*F27,0)</f>
        <v>19014</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142055</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142055</v>
      </c>
      <c r="D51" s="276"/>
      <c r="E51" s="276"/>
      <c r="F51" s="308"/>
      <c r="G51" s="278" t="s">
        <v>64</v>
      </c>
    </row>
    <row r="52" spans="1:7" s="252" customFormat="1" ht="16.8" thickBot="1">
      <c r="A52" s="309" t="s">
        <v>65</v>
      </c>
      <c r="B52" s="310"/>
      <c r="C52" s="311">
        <f ca="1">C31+C51</f>
        <v>175736</v>
      </c>
      <c r="D52" s="310"/>
      <c r="E52" s="310"/>
      <c r="F52" s="310"/>
      <c r="G52" s="312"/>
    </row>
    <row r="55" spans="1:7" ht="15">
      <c r="B55" s="314" t="s">
        <v>66</v>
      </c>
      <c r="C55" s="315"/>
    </row>
    <row r="56" spans="1:7">
      <c r="B56" s="317" t="s">
        <v>67</v>
      </c>
      <c r="C56" s="318">
        <f ca="1">ROUND(C51/C52,3)</f>
        <v>0.80800000000000005</v>
      </c>
    </row>
    <row r="57" spans="1:7">
      <c r="B57" s="317" t="s">
        <v>68</v>
      </c>
      <c r="C57" s="319">
        <f ca="1">1-C56</f>
        <v>0.19199999999999995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9" t="s">
        <v>868</v>
      </c>
      <c r="B1" s="3289"/>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43488</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pane xSplit="1" ySplit="1" topLeftCell="G10" activePane="bottomRight" state="frozen"/>
      <selection pane="topRight" activeCell="B1" sqref="B1"/>
      <selection pane="bottomLeft" activeCell="A2" sqref="A2"/>
      <selection pane="bottomRight" activeCell="AI56" sqref="AI56"/>
    </sheetView>
  </sheetViews>
  <sheetFormatPr defaultRowHeight="12"/>
  <cols>
    <col min="1" max="1" width="21" style="2955" customWidth="1"/>
    <col min="2" max="2" width="6.21875" style="2955" customWidth="1"/>
    <col min="3" max="3" width="11.6640625" style="2955" customWidth="1"/>
    <col min="4" max="4" width="6.21875" style="2955" customWidth="1"/>
    <col min="5" max="5" width="4.6640625" style="2955" customWidth="1"/>
    <col min="6" max="6" width="19.44140625" style="2955" customWidth="1"/>
    <col min="7" max="7" width="7.88671875" style="2955" customWidth="1"/>
    <col min="8" max="8" width="13.44140625" style="2955" customWidth="1"/>
    <col min="9" max="9" width="12.33203125" style="2955" customWidth="1"/>
    <col min="10" max="11" width="13.88671875" style="2955" customWidth="1"/>
    <col min="12" max="12" width="11.6640625" style="2955" customWidth="1"/>
    <col min="13" max="15" width="7.88671875" style="2955" customWidth="1"/>
    <col min="16" max="16" width="9.6640625" style="2955" hidden="1" customWidth="1"/>
    <col min="17" max="18" width="15.44140625" style="2955" hidden="1" customWidth="1"/>
    <col min="19" max="19" width="12.88671875" style="2955" hidden="1" customWidth="1"/>
    <col min="20" max="21" width="11.21875" style="2955" hidden="1" customWidth="1"/>
    <col min="22" max="22" width="17.77734375" style="2955" hidden="1" customWidth="1"/>
    <col min="23" max="23" width="7.88671875" style="2955" customWidth="1"/>
    <col min="24" max="27" width="9" style="2955" customWidth="1"/>
    <col min="28" max="28" width="14.88671875" style="2955" customWidth="1"/>
    <col min="29" max="29" width="7.88671875" style="2955" customWidth="1"/>
    <col min="30" max="30" width="27.77734375" style="2955" customWidth="1"/>
    <col min="31" max="33" width="10.6640625" style="2955" customWidth="1"/>
    <col min="34" max="35" width="16" style="2955" customWidth="1"/>
    <col min="36" max="37" width="14.21875" style="2955" customWidth="1"/>
    <col min="38" max="39" width="21.88671875" style="2955" hidden="1" customWidth="1"/>
    <col min="40" max="40" width="6.21875" style="2955" customWidth="1"/>
    <col min="41" max="41" width="5.44140625" style="2955" customWidth="1"/>
    <col min="42" max="42" width="16.88671875" style="2955" hidden="1" customWidth="1"/>
    <col min="43" max="44" width="20.109375" style="2955" hidden="1" customWidth="1"/>
    <col min="45" max="45" width="7.88671875" style="2955" customWidth="1"/>
    <col min="46" max="256" width="9" style="2955"/>
    <col min="257" max="257" width="21" style="2955" customWidth="1"/>
    <col min="258" max="258" width="6.21875" style="2955" customWidth="1"/>
    <col min="259" max="259" width="11.6640625" style="2955" customWidth="1"/>
    <col min="260" max="260" width="6.21875" style="2955" customWidth="1"/>
    <col min="261" max="261" width="4.6640625" style="2955" customWidth="1"/>
    <col min="262" max="262" width="19.44140625" style="2955" customWidth="1"/>
    <col min="263" max="263" width="7.88671875" style="2955" customWidth="1"/>
    <col min="264" max="264" width="13.44140625" style="2955" customWidth="1"/>
    <col min="265" max="265" width="12.33203125" style="2955" customWidth="1"/>
    <col min="266" max="267" width="13.88671875" style="2955" customWidth="1"/>
    <col min="268" max="268" width="11.6640625" style="2955" customWidth="1"/>
    <col min="269" max="271" width="7.88671875" style="2955" customWidth="1"/>
    <col min="272" max="278" width="0" style="2955" hidden="1" customWidth="1"/>
    <col min="279" max="279" width="7.88671875" style="2955" customWidth="1"/>
    <col min="280" max="283" width="9" style="2955" customWidth="1"/>
    <col min="284" max="284" width="14.88671875" style="2955" customWidth="1"/>
    <col min="285" max="285" width="7.88671875" style="2955" customWidth="1"/>
    <col min="286" max="286" width="27.77734375" style="2955" customWidth="1"/>
    <col min="287" max="289" width="10.6640625" style="2955" customWidth="1"/>
    <col min="290" max="291" width="16" style="2955" customWidth="1"/>
    <col min="292" max="293" width="14.21875" style="2955" customWidth="1"/>
    <col min="294" max="295" width="0" style="2955" hidden="1" customWidth="1"/>
    <col min="296" max="296" width="6.21875" style="2955" customWidth="1"/>
    <col min="297" max="297" width="5.44140625" style="2955" customWidth="1"/>
    <col min="298" max="300" width="0" style="2955" hidden="1" customWidth="1"/>
    <col min="301" max="301" width="7.88671875" style="2955" customWidth="1"/>
    <col min="302" max="512" width="9" style="2955"/>
    <col min="513" max="513" width="21" style="2955" customWidth="1"/>
    <col min="514" max="514" width="6.21875" style="2955" customWidth="1"/>
    <col min="515" max="515" width="11.6640625" style="2955" customWidth="1"/>
    <col min="516" max="516" width="6.21875" style="2955" customWidth="1"/>
    <col min="517" max="517" width="4.6640625" style="2955" customWidth="1"/>
    <col min="518" max="518" width="19.44140625" style="2955" customWidth="1"/>
    <col min="519" max="519" width="7.88671875" style="2955" customWidth="1"/>
    <col min="520" max="520" width="13.44140625" style="2955" customWidth="1"/>
    <col min="521" max="521" width="12.33203125" style="2955" customWidth="1"/>
    <col min="522" max="523" width="13.88671875" style="2955" customWidth="1"/>
    <col min="524" max="524" width="11.6640625" style="2955" customWidth="1"/>
    <col min="525" max="527" width="7.88671875" style="2955" customWidth="1"/>
    <col min="528" max="534" width="0" style="2955" hidden="1" customWidth="1"/>
    <col min="535" max="535" width="7.88671875" style="2955" customWidth="1"/>
    <col min="536" max="539" width="9" style="2955" customWidth="1"/>
    <col min="540" max="540" width="14.88671875" style="2955" customWidth="1"/>
    <col min="541" max="541" width="7.88671875" style="2955" customWidth="1"/>
    <col min="542" max="542" width="27.77734375" style="2955" customWidth="1"/>
    <col min="543" max="545" width="10.6640625" style="2955" customWidth="1"/>
    <col min="546" max="547" width="16" style="2955" customWidth="1"/>
    <col min="548" max="549" width="14.21875" style="2955" customWidth="1"/>
    <col min="550" max="551" width="0" style="2955" hidden="1" customWidth="1"/>
    <col min="552" max="552" width="6.21875" style="2955" customWidth="1"/>
    <col min="553" max="553" width="5.44140625" style="2955" customWidth="1"/>
    <col min="554" max="556" width="0" style="2955" hidden="1" customWidth="1"/>
    <col min="557" max="557" width="7.88671875" style="2955" customWidth="1"/>
    <col min="558" max="768" width="9" style="2955"/>
    <col min="769" max="769" width="21" style="2955" customWidth="1"/>
    <col min="770" max="770" width="6.21875" style="2955" customWidth="1"/>
    <col min="771" max="771" width="11.6640625" style="2955" customWidth="1"/>
    <col min="772" max="772" width="6.21875" style="2955" customWidth="1"/>
    <col min="773" max="773" width="4.6640625" style="2955" customWidth="1"/>
    <col min="774" max="774" width="19.44140625" style="2955" customWidth="1"/>
    <col min="775" max="775" width="7.88671875" style="2955" customWidth="1"/>
    <col min="776" max="776" width="13.44140625" style="2955" customWidth="1"/>
    <col min="777" max="777" width="12.33203125" style="2955" customWidth="1"/>
    <col min="778" max="779" width="13.88671875" style="2955" customWidth="1"/>
    <col min="780" max="780" width="11.6640625" style="2955" customWidth="1"/>
    <col min="781" max="783" width="7.88671875" style="2955" customWidth="1"/>
    <col min="784" max="790" width="0" style="2955" hidden="1" customWidth="1"/>
    <col min="791" max="791" width="7.88671875" style="2955" customWidth="1"/>
    <col min="792" max="795" width="9" style="2955" customWidth="1"/>
    <col min="796" max="796" width="14.88671875" style="2955" customWidth="1"/>
    <col min="797" max="797" width="7.88671875" style="2955" customWidth="1"/>
    <col min="798" max="798" width="27.77734375" style="2955" customWidth="1"/>
    <col min="799" max="801" width="10.6640625" style="2955" customWidth="1"/>
    <col min="802" max="803" width="16" style="2955" customWidth="1"/>
    <col min="804" max="805" width="14.21875" style="2955" customWidth="1"/>
    <col min="806" max="807" width="0" style="2955" hidden="1" customWidth="1"/>
    <col min="808" max="808" width="6.21875" style="2955" customWidth="1"/>
    <col min="809" max="809" width="5.44140625" style="2955" customWidth="1"/>
    <col min="810" max="812" width="0" style="2955" hidden="1" customWidth="1"/>
    <col min="813" max="813" width="7.88671875" style="2955" customWidth="1"/>
    <col min="814" max="1024" width="9" style="2955"/>
    <col min="1025" max="1025" width="21" style="2955" customWidth="1"/>
    <col min="1026" max="1026" width="6.21875" style="2955" customWidth="1"/>
    <col min="1027" max="1027" width="11.6640625" style="2955" customWidth="1"/>
    <col min="1028" max="1028" width="6.21875" style="2955" customWidth="1"/>
    <col min="1029" max="1029" width="4.6640625" style="2955" customWidth="1"/>
    <col min="1030" max="1030" width="19.44140625" style="2955" customWidth="1"/>
    <col min="1031" max="1031" width="7.88671875" style="2955" customWidth="1"/>
    <col min="1032" max="1032" width="13.44140625" style="2955" customWidth="1"/>
    <col min="1033" max="1033" width="12.33203125" style="2955" customWidth="1"/>
    <col min="1034" max="1035" width="13.88671875" style="2955" customWidth="1"/>
    <col min="1036" max="1036" width="11.6640625" style="2955" customWidth="1"/>
    <col min="1037" max="1039" width="7.88671875" style="2955" customWidth="1"/>
    <col min="1040" max="1046" width="0" style="2955" hidden="1" customWidth="1"/>
    <col min="1047" max="1047" width="7.88671875" style="2955" customWidth="1"/>
    <col min="1048" max="1051" width="9" style="2955" customWidth="1"/>
    <col min="1052" max="1052" width="14.88671875" style="2955" customWidth="1"/>
    <col min="1053" max="1053" width="7.88671875" style="2955" customWidth="1"/>
    <col min="1054" max="1054" width="27.77734375" style="2955" customWidth="1"/>
    <col min="1055" max="1057" width="10.6640625" style="2955" customWidth="1"/>
    <col min="1058" max="1059" width="16" style="2955" customWidth="1"/>
    <col min="1060" max="1061" width="14.21875" style="2955" customWidth="1"/>
    <col min="1062" max="1063" width="0" style="2955" hidden="1" customWidth="1"/>
    <col min="1064" max="1064" width="6.21875" style="2955" customWidth="1"/>
    <col min="1065" max="1065" width="5.44140625" style="2955" customWidth="1"/>
    <col min="1066" max="1068" width="0" style="2955" hidden="1" customWidth="1"/>
    <col min="1069" max="1069" width="7.88671875" style="2955" customWidth="1"/>
    <col min="1070" max="1280" width="9" style="2955"/>
    <col min="1281" max="1281" width="21" style="2955" customWidth="1"/>
    <col min="1282" max="1282" width="6.21875" style="2955" customWidth="1"/>
    <col min="1283" max="1283" width="11.6640625" style="2955" customWidth="1"/>
    <col min="1284" max="1284" width="6.21875" style="2955" customWidth="1"/>
    <col min="1285" max="1285" width="4.6640625" style="2955" customWidth="1"/>
    <col min="1286" max="1286" width="19.44140625" style="2955" customWidth="1"/>
    <col min="1287" max="1287" width="7.88671875" style="2955" customWidth="1"/>
    <col min="1288" max="1288" width="13.44140625" style="2955" customWidth="1"/>
    <col min="1289" max="1289" width="12.33203125" style="2955" customWidth="1"/>
    <col min="1290" max="1291" width="13.88671875" style="2955" customWidth="1"/>
    <col min="1292" max="1292" width="11.6640625" style="2955" customWidth="1"/>
    <col min="1293" max="1295" width="7.88671875" style="2955" customWidth="1"/>
    <col min="1296" max="1302" width="0" style="2955" hidden="1" customWidth="1"/>
    <col min="1303" max="1303" width="7.88671875" style="2955" customWidth="1"/>
    <col min="1304" max="1307" width="9" style="2955" customWidth="1"/>
    <col min="1308" max="1308" width="14.88671875" style="2955" customWidth="1"/>
    <col min="1309" max="1309" width="7.88671875" style="2955" customWidth="1"/>
    <col min="1310" max="1310" width="27.77734375" style="2955" customWidth="1"/>
    <col min="1311" max="1313" width="10.6640625" style="2955" customWidth="1"/>
    <col min="1314" max="1315" width="16" style="2955" customWidth="1"/>
    <col min="1316" max="1317" width="14.21875" style="2955" customWidth="1"/>
    <col min="1318" max="1319" width="0" style="2955" hidden="1" customWidth="1"/>
    <col min="1320" max="1320" width="6.21875" style="2955" customWidth="1"/>
    <col min="1321" max="1321" width="5.44140625" style="2955" customWidth="1"/>
    <col min="1322" max="1324" width="0" style="2955" hidden="1" customWidth="1"/>
    <col min="1325" max="1325" width="7.88671875" style="2955" customWidth="1"/>
    <col min="1326" max="1536" width="9" style="2955"/>
    <col min="1537" max="1537" width="21" style="2955" customWidth="1"/>
    <col min="1538" max="1538" width="6.21875" style="2955" customWidth="1"/>
    <col min="1539" max="1539" width="11.6640625" style="2955" customWidth="1"/>
    <col min="1540" max="1540" width="6.21875" style="2955" customWidth="1"/>
    <col min="1541" max="1541" width="4.6640625" style="2955" customWidth="1"/>
    <col min="1542" max="1542" width="19.44140625" style="2955" customWidth="1"/>
    <col min="1543" max="1543" width="7.88671875" style="2955" customWidth="1"/>
    <col min="1544" max="1544" width="13.44140625" style="2955" customWidth="1"/>
    <col min="1545" max="1545" width="12.33203125" style="2955" customWidth="1"/>
    <col min="1546" max="1547" width="13.88671875" style="2955" customWidth="1"/>
    <col min="1548" max="1548" width="11.6640625" style="2955" customWidth="1"/>
    <col min="1549" max="1551" width="7.88671875" style="2955" customWidth="1"/>
    <col min="1552" max="1558" width="0" style="2955" hidden="1" customWidth="1"/>
    <col min="1559" max="1559" width="7.88671875" style="2955" customWidth="1"/>
    <col min="1560" max="1563" width="9" style="2955" customWidth="1"/>
    <col min="1564" max="1564" width="14.88671875" style="2955" customWidth="1"/>
    <col min="1565" max="1565" width="7.88671875" style="2955" customWidth="1"/>
    <col min="1566" max="1566" width="27.77734375" style="2955" customWidth="1"/>
    <col min="1567" max="1569" width="10.6640625" style="2955" customWidth="1"/>
    <col min="1570" max="1571" width="16" style="2955" customWidth="1"/>
    <col min="1572" max="1573" width="14.21875" style="2955" customWidth="1"/>
    <col min="1574" max="1575" width="0" style="2955" hidden="1" customWidth="1"/>
    <col min="1576" max="1576" width="6.21875" style="2955" customWidth="1"/>
    <col min="1577" max="1577" width="5.44140625" style="2955" customWidth="1"/>
    <col min="1578" max="1580" width="0" style="2955" hidden="1" customWidth="1"/>
    <col min="1581" max="1581" width="7.88671875" style="2955" customWidth="1"/>
    <col min="1582" max="1792" width="9" style="2955"/>
    <col min="1793" max="1793" width="21" style="2955" customWidth="1"/>
    <col min="1794" max="1794" width="6.21875" style="2955" customWidth="1"/>
    <col min="1795" max="1795" width="11.6640625" style="2955" customWidth="1"/>
    <col min="1796" max="1796" width="6.21875" style="2955" customWidth="1"/>
    <col min="1797" max="1797" width="4.6640625" style="2955" customWidth="1"/>
    <col min="1798" max="1798" width="19.44140625" style="2955" customWidth="1"/>
    <col min="1799" max="1799" width="7.88671875" style="2955" customWidth="1"/>
    <col min="1800" max="1800" width="13.44140625" style="2955" customWidth="1"/>
    <col min="1801" max="1801" width="12.33203125" style="2955" customWidth="1"/>
    <col min="1802" max="1803" width="13.88671875" style="2955" customWidth="1"/>
    <col min="1804" max="1804" width="11.6640625" style="2955" customWidth="1"/>
    <col min="1805" max="1807" width="7.88671875" style="2955" customWidth="1"/>
    <col min="1808" max="1814" width="0" style="2955" hidden="1" customWidth="1"/>
    <col min="1815" max="1815" width="7.88671875" style="2955" customWidth="1"/>
    <col min="1816" max="1819" width="9" style="2955" customWidth="1"/>
    <col min="1820" max="1820" width="14.88671875" style="2955" customWidth="1"/>
    <col min="1821" max="1821" width="7.88671875" style="2955" customWidth="1"/>
    <col min="1822" max="1822" width="27.77734375" style="2955" customWidth="1"/>
    <col min="1823" max="1825" width="10.6640625" style="2955" customWidth="1"/>
    <col min="1826" max="1827" width="16" style="2955" customWidth="1"/>
    <col min="1828" max="1829" width="14.21875" style="2955" customWidth="1"/>
    <col min="1830" max="1831" width="0" style="2955" hidden="1" customWidth="1"/>
    <col min="1832" max="1832" width="6.21875" style="2955" customWidth="1"/>
    <col min="1833" max="1833" width="5.44140625" style="2955" customWidth="1"/>
    <col min="1834" max="1836" width="0" style="2955" hidden="1" customWidth="1"/>
    <col min="1837" max="1837" width="7.88671875" style="2955" customWidth="1"/>
    <col min="1838" max="2048" width="9" style="2955"/>
    <col min="2049" max="2049" width="21" style="2955" customWidth="1"/>
    <col min="2050" max="2050" width="6.21875" style="2955" customWidth="1"/>
    <col min="2051" max="2051" width="11.6640625" style="2955" customWidth="1"/>
    <col min="2052" max="2052" width="6.21875" style="2955" customWidth="1"/>
    <col min="2053" max="2053" width="4.6640625" style="2955" customWidth="1"/>
    <col min="2054" max="2054" width="19.44140625" style="2955" customWidth="1"/>
    <col min="2055" max="2055" width="7.88671875" style="2955" customWidth="1"/>
    <col min="2056" max="2056" width="13.44140625" style="2955" customWidth="1"/>
    <col min="2057" max="2057" width="12.33203125" style="2955" customWidth="1"/>
    <col min="2058" max="2059" width="13.88671875" style="2955" customWidth="1"/>
    <col min="2060" max="2060" width="11.6640625" style="2955" customWidth="1"/>
    <col min="2061" max="2063" width="7.88671875" style="2955" customWidth="1"/>
    <col min="2064" max="2070" width="0" style="2955" hidden="1" customWidth="1"/>
    <col min="2071" max="2071" width="7.88671875" style="2955" customWidth="1"/>
    <col min="2072" max="2075" width="9" style="2955" customWidth="1"/>
    <col min="2076" max="2076" width="14.88671875" style="2955" customWidth="1"/>
    <col min="2077" max="2077" width="7.88671875" style="2955" customWidth="1"/>
    <col min="2078" max="2078" width="27.77734375" style="2955" customWidth="1"/>
    <col min="2079" max="2081" width="10.6640625" style="2955" customWidth="1"/>
    <col min="2082" max="2083" width="16" style="2955" customWidth="1"/>
    <col min="2084" max="2085" width="14.21875" style="2955" customWidth="1"/>
    <col min="2086" max="2087" width="0" style="2955" hidden="1" customWidth="1"/>
    <col min="2088" max="2088" width="6.21875" style="2955" customWidth="1"/>
    <col min="2089" max="2089" width="5.44140625" style="2955" customWidth="1"/>
    <col min="2090" max="2092" width="0" style="2955" hidden="1" customWidth="1"/>
    <col min="2093" max="2093" width="7.88671875" style="2955" customWidth="1"/>
    <col min="2094" max="2304" width="9" style="2955"/>
    <col min="2305" max="2305" width="21" style="2955" customWidth="1"/>
    <col min="2306" max="2306" width="6.21875" style="2955" customWidth="1"/>
    <col min="2307" max="2307" width="11.6640625" style="2955" customWidth="1"/>
    <col min="2308" max="2308" width="6.21875" style="2955" customWidth="1"/>
    <col min="2309" max="2309" width="4.6640625" style="2955" customWidth="1"/>
    <col min="2310" max="2310" width="19.44140625" style="2955" customWidth="1"/>
    <col min="2311" max="2311" width="7.88671875" style="2955" customWidth="1"/>
    <col min="2312" max="2312" width="13.44140625" style="2955" customWidth="1"/>
    <col min="2313" max="2313" width="12.33203125" style="2955" customWidth="1"/>
    <col min="2314" max="2315" width="13.88671875" style="2955" customWidth="1"/>
    <col min="2316" max="2316" width="11.6640625" style="2955" customWidth="1"/>
    <col min="2317" max="2319" width="7.88671875" style="2955" customWidth="1"/>
    <col min="2320" max="2326" width="0" style="2955" hidden="1" customWidth="1"/>
    <col min="2327" max="2327" width="7.88671875" style="2955" customWidth="1"/>
    <col min="2328" max="2331" width="9" style="2955" customWidth="1"/>
    <col min="2332" max="2332" width="14.88671875" style="2955" customWidth="1"/>
    <col min="2333" max="2333" width="7.88671875" style="2955" customWidth="1"/>
    <col min="2334" max="2334" width="27.77734375" style="2955" customWidth="1"/>
    <col min="2335" max="2337" width="10.6640625" style="2955" customWidth="1"/>
    <col min="2338" max="2339" width="16" style="2955" customWidth="1"/>
    <col min="2340" max="2341" width="14.21875" style="2955" customWidth="1"/>
    <col min="2342" max="2343" width="0" style="2955" hidden="1" customWidth="1"/>
    <col min="2344" max="2344" width="6.21875" style="2955" customWidth="1"/>
    <col min="2345" max="2345" width="5.44140625" style="2955" customWidth="1"/>
    <col min="2346" max="2348" width="0" style="2955" hidden="1" customWidth="1"/>
    <col min="2349" max="2349" width="7.88671875" style="2955" customWidth="1"/>
    <col min="2350" max="2560" width="9" style="2955"/>
    <col min="2561" max="2561" width="21" style="2955" customWidth="1"/>
    <col min="2562" max="2562" width="6.21875" style="2955" customWidth="1"/>
    <col min="2563" max="2563" width="11.6640625" style="2955" customWidth="1"/>
    <col min="2564" max="2564" width="6.21875" style="2955" customWidth="1"/>
    <col min="2565" max="2565" width="4.6640625" style="2955" customWidth="1"/>
    <col min="2566" max="2566" width="19.44140625" style="2955" customWidth="1"/>
    <col min="2567" max="2567" width="7.88671875" style="2955" customWidth="1"/>
    <col min="2568" max="2568" width="13.44140625" style="2955" customWidth="1"/>
    <col min="2569" max="2569" width="12.33203125" style="2955" customWidth="1"/>
    <col min="2570" max="2571" width="13.88671875" style="2955" customWidth="1"/>
    <col min="2572" max="2572" width="11.6640625" style="2955" customWidth="1"/>
    <col min="2573" max="2575" width="7.88671875" style="2955" customWidth="1"/>
    <col min="2576" max="2582" width="0" style="2955" hidden="1" customWidth="1"/>
    <col min="2583" max="2583" width="7.88671875" style="2955" customWidth="1"/>
    <col min="2584" max="2587" width="9" style="2955" customWidth="1"/>
    <col min="2588" max="2588" width="14.88671875" style="2955" customWidth="1"/>
    <col min="2589" max="2589" width="7.88671875" style="2955" customWidth="1"/>
    <col min="2590" max="2590" width="27.77734375" style="2955" customWidth="1"/>
    <col min="2591" max="2593" width="10.6640625" style="2955" customWidth="1"/>
    <col min="2594" max="2595" width="16" style="2955" customWidth="1"/>
    <col min="2596" max="2597" width="14.21875" style="2955" customWidth="1"/>
    <col min="2598" max="2599" width="0" style="2955" hidden="1" customWidth="1"/>
    <col min="2600" max="2600" width="6.21875" style="2955" customWidth="1"/>
    <col min="2601" max="2601" width="5.44140625" style="2955" customWidth="1"/>
    <col min="2602" max="2604" width="0" style="2955" hidden="1" customWidth="1"/>
    <col min="2605" max="2605" width="7.88671875" style="2955" customWidth="1"/>
    <col min="2606" max="2816" width="9" style="2955"/>
    <col min="2817" max="2817" width="21" style="2955" customWidth="1"/>
    <col min="2818" max="2818" width="6.21875" style="2955" customWidth="1"/>
    <col min="2819" max="2819" width="11.6640625" style="2955" customWidth="1"/>
    <col min="2820" max="2820" width="6.21875" style="2955" customWidth="1"/>
    <col min="2821" max="2821" width="4.6640625" style="2955" customWidth="1"/>
    <col min="2822" max="2822" width="19.44140625" style="2955" customWidth="1"/>
    <col min="2823" max="2823" width="7.88671875" style="2955" customWidth="1"/>
    <col min="2824" max="2824" width="13.44140625" style="2955" customWidth="1"/>
    <col min="2825" max="2825" width="12.33203125" style="2955" customWidth="1"/>
    <col min="2826" max="2827" width="13.88671875" style="2955" customWidth="1"/>
    <col min="2828" max="2828" width="11.6640625" style="2955" customWidth="1"/>
    <col min="2829" max="2831" width="7.88671875" style="2955" customWidth="1"/>
    <col min="2832" max="2838" width="0" style="2955" hidden="1" customWidth="1"/>
    <col min="2839" max="2839" width="7.88671875" style="2955" customWidth="1"/>
    <col min="2840" max="2843" width="9" style="2955" customWidth="1"/>
    <col min="2844" max="2844" width="14.88671875" style="2955" customWidth="1"/>
    <col min="2845" max="2845" width="7.88671875" style="2955" customWidth="1"/>
    <col min="2846" max="2846" width="27.77734375" style="2955" customWidth="1"/>
    <col min="2847" max="2849" width="10.6640625" style="2955" customWidth="1"/>
    <col min="2850" max="2851" width="16" style="2955" customWidth="1"/>
    <col min="2852" max="2853" width="14.21875" style="2955" customWidth="1"/>
    <col min="2854" max="2855" width="0" style="2955" hidden="1" customWidth="1"/>
    <col min="2856" max="2856" width="6.21875" style="2955" customWidth="1"/>
    <col min="2857" max="2857" width="5.44140625" style="2955" customWidth="1"/>
    <col min="2858" max="2860" width="0" style="2955" hidden="1" customWidth="1"/>
    <col min="2861" max="2861" width="7.88671875" style="2955" customWidth="1"/>
    <col min="2862" max="3072" width="9" style="2955"/>
    <col min="3073" max="3073" width="21" style="2955" customWidth="1"/>
    <col min="3074" max="3074" width="6.21875" style="2955" customWidth="1"/>
    <col min="3075" max="3075" width="11.6640625" style="2955" customWidth="1"/>
    <col min="3076" max="3076" width="6.21875" style="2955" customWidth="1"/>
    <col min="3077" max="3077" width="4.6640625" style="2955" customWidth="1"/>
    <col min="3078" max="3078" width="19.44140625" style="2955" customWidth="1"/>
    <col min="3079" max="3079" width="7.88671875" style="2955" customWidth="1"/>
    <col min="3080" max="3080" width="13.44140625" style="2955" customWidth="1"/>
    <col min="3081" max="3081" width="12.33203125" style="2955" customWidth="1"/>
    <col min="3082" max="3083" width="13.88671875" style="2955" customWidth="1"/>
    <col min="3084" max="3084" width="11.6640625" style="2955" customWidth="1"/>
    <col min="3085" max="3087" width="7.88671875" style="2955" customWidth="1"/>
    <col min="3088" max="3094" width="0" style="2955" hidden="1" customWidth="1"/>
    <col min="3095" max="3095" width="7.88671875" style="2955" customWidth="1"/>
    <col min="3096" max="3099" width="9" style="2955" customWidth="1"/>
    <col min="3100" max="3100" width="14.88671875" style="2955" customWidth="1"/>
    <col min="3101" max="3101" width="7.88671875" style="2955" customWidth="1"/>
    <col min="3102" max="3102" width="27.77734375" style="2955" customWidth="1"/>
    <col min="3103" max="3105" width="10.6640625" style="2955" customWidth="1"/>
    <col min="3106" max="3107" width="16" style="2955" customWidth="1"/>
    <col min="3108" max="3109" width="14.21875" style="2955" customWidth="1"/>
    <col min="3110" max="3111" width="0" style="2955" hidden="1" customWidth="1"/>
    <col min="3112" max="3112" width="6.21875" style="2955" customWidth="1"/>
    <col min="3113" max="3113" width="5.44140625" style="2955" customWidth="1"/>
    <col min="3114" max="3116" width="0" style="2955" hidden="1" customWidth="1"/>
    <col min="3117" max="3117" width="7.88671875" style="2955" customWidth="1"/>
    <col min="3118" max="3328" width="9" style="2955"/>
    <col min="3329" max="3329" width="21" style="2955" customWidth="1"/>
    <col min="3330" max="3330" width="6.21875" style="2955" customWidth="1"/>
    <col min="3331" max="3331" width="11.6640625" style="2955" customWidth="1"/>
    <col min="3332" max="3332" width="6.21875" style="2955" customWidth="1"/>
    <col min="3333" max="3333" width="4.6640625" style="2955" customWidth="1"/>
    <col min="3334" max="3334" width="19.44140625" style="2955" customWidth="1"/>
    <col min="3335" max="3335" width="7.88671875" style="2955" customWidth="1"/>
    <col min="3336" max="3336" width="13.44140625" style="2955" customWidth="1"/>
    <col min="3337" max="3337" width="12.33203125" style="2955" customWidth="1"/>
    <col min="3338" max="3339" width="13.88671875" style="2955" customWidth="1"/>
    <col min="3340" max="3340" width="11.6640625" style="2955" customWidth="1"/>
    <col min="3341" max="3343" width="7.88671875" style="2955" customWidth="1"/>
    <col min="3344" max="3350" width="0" style="2955" hidden="1" customWidth="1"/>
    <col min="3351" max="3351" width="7.88671875" style="2955" customWidth="1"/>
    <col min="3352" max="3355" width="9" style="2955" customWidth="1"/>
    <col min="3356" max="3356" width="14.88671875" style="2955" customWidth="1"/>
    <col min="3357" max="3357" width="7.88671875" style="2955" customWidth="1"/>
    <col min="3358" max="3358" width="27.77734375" style="2955" customWidth="1"/>
    <col min="3359" max="3361" width="10.6640625" style="2955" customWidth="1"/>
    <col min="3362" max="3363" width="16" style="2955" customWidth="1"/>
    <col min="3364" max="3365" width="14.21875" style="2955" customWidth="1"/>
    <col min="3366" max="3367" width="0" style="2955" hidden="1" customWidth="1"/>
    <col min="3368" max="3368" width="6.21875" style="2955" customWidth="1"/>
    <col min="3369" max="3369" width="5.44140625" style="2955" customWidth="1"/>
    <col min="3370" max="3372" width="0" style="2955" hidden="1" customWidth="1"/>
    <col min="3373" max="3373" width="7.88671875" style="2955" customWidth="1"/>
    <col min="3374" max="3584" width="9" style="2955"/>
    <col min="3585" max="3585" width="21" style="2955" customWidth="1"/>
    <col min="3586" max="3586" width="6.21875" style="2955" customWidth="1"/>
    <col min="3587" max="3587" width="11.6640625" style="2955" customWidth="1"/>
    <col min="3588" max="3588" width="6.21875" style="2955" customWidth="1"/>
    <col min="3589" max="3589" width="4.6640625" style="2955" customWidth="1"/>
    <col min="3590" max="3590" width="19.44140625" style="2955" customWidth="1"/>
    <col min="3591" max="3591" width="7.88671875" style="2955" customWidth="1"/>
    <col min="3592" max="3592" width="13.44140625" style="2955" customWidth="1"/>
    <col min="3593" max="3593" width="12.33203125" style="2955" customWidth="1"/>
    <col min="3594" max="3595" width="13.88671875" style="2955" customWidth="1"/>
    <col min="3596" max="3596" width="11.6640625" style="2955" customWidth="1"/>
    <col min="3597" max="3599" width="7.88671875" style="2955" customWidth="1"/>
    <col min="3600" max="3606" width="0" style="2955" hidden="1" customWidth="1"/>
    <col min="3607" max="3607" width="7.88671875" style="2955" customWidth="1"/>
    <col min="3608" max="3611" width="9" style="2955" customWidth="1"/>
    <col min="3612" max="3612" width="14.88671875" style="2955" customWidth="1"/>
    <col min="3613" max="3613" width="7.88671875" style="2955" customWidth="1"/>
    <col min="3614" max="3614" width="27.77734375" style="2955" customWidth="1"/>
    <col min="3615" max="3617" width="10.6640625" style="2955" customWidth="1"/>
    <col min="3618" max="3619" width="16" style="2955" customWidth="1"/>
    <col min="3620" max="3621" width="14.21875" style="2955" customWidth="1"/>
    <col min="3622" max="3623" width="0" style="2955" hidden="1" customWidth="1"/>
    <col min="3624" max="3624" width="6.21875" style="2955" customWidth="1"/>
    <col min="3625" max="3625" width="5.44140625" style="2955" customWidth="1"/>
    <col min="3626" max="3628" width="0" style="2955" hidden="1" customWidth="1"/>
    <col min="3629" max="3629" width="7.88671875" style="2955" customWidth="1"/>
    <col min="3630" max="3840" width="9" style="2955"/>
    <col min="3841" max="3841" width="21" style="2955" customWidth="1"/>
    <col min="3842" max="3842" width="6.21875" style="2955" customWidth="1"/>
    <col min="3843" max="3843" width="11.6640625" style="2955" customWidth="1"/>
    <col min="3844" max="3844" width="6.21875" style="2955" customWidth="1"/>
    <col min="3845" max="3845" width="4.6640625" style="2955" customWidth="1"/>
    <col min="3846" max="3846" width="19.44140625" style="2955" customWidth="1"/>
    <col min="3847" max="3847" width="7.88671875" style="2955" customWidth="1"/>
    <col min="3848" max="3848" width="13.44140625" style="2955" customWidth="1"/>
    <col min="3849" max="3849" width="12.33203125" style="2955" customWidth="1"/>
    <col min="3850" max="3851" width="13.88671875" style="2955" customWidth="1"/>
    <col min="3852" max="3852" width="11.6640625" style="2955" customWidth="1"/>
    <col min="3853" max="3855" width="7.88671875" style="2955" customWidth="1"/>
    <col min="3856" max="3862" width="0" style="2955" hidden="1" customWidth="1"/>
    <col min="3863" max="3863" width="7.88671875" style="2955" customWidth="1"/>
    <col min="3864" max="3867" width="9" style="2955" customWidth="1"/>
    <col min="3868" max="3868" width="14.88671875" style="2955" customWidth="1"/>
    <col min="3869" max="3869" width="7.88671875" style="2955" customWidth="1"/>
    <col min="3870" max="3870" width="27.77734375" style="2955" customWidth="1"/>
    <col min="3871" max="3873" width="10.6640625" style="2955" customWidth="1"/>
    <col min="3874" max="3875" width="16" style="2955" customWidth="1"/>
    <col min="3876" max="3877" width="14.21875" style="2955" customWidth="1"/>
    <col min="3878" max="3879" width="0" style="2955" hidden="1" customWidth="1"/>
    <col min="3880" max="3880" width="6.21875" style="2955" customWidth="1"/>
    <col min="3881" max="3881" width="5.44140625" style="2955" customWidth="1"/>
    <col min="3882" max="3884" width="0" style="2955" hidden="1" customWidth="1"/>
    <col min="3885" max="3885" width="7.88671875" style="2955" customWidth="1"/>
    <col min="3886" max="4096" width="9" style="2955"/>
    <col min="4097" max="4097" width="21" style="2955" customWidth="1"/>
    <col min="4098" max="4098" width="6.21875" style="2955" customWidth="1"/>
    <col min="4099" max="4099" width="11.6640625" style="2955" customWidth="1"/>
    <col min="4100" max="4100" width="6.21875" style="2955" customWidth="1"/>
    <col min="4101" max="4101" width="4.6640625" style="2955" customWidth="1"/>
    <col min="4102" max="4102" width="19.44140625" style="2955" customWidth="1"/>
    <col min="4103" max="4103" width="7.88671875" style="2955" customWidth="1"/>
    <col min="4104" max="4104" width="13.44140625" style="2955" customWidth="1"/>
    <col min="4105" max="4105" width="12.33203125" style="2955" customWidth="1"/>
    <col min="4106" max="4107" width="13.88671875" style="2955" customWidth="1"/>
    <col min="4108" max="4108" width="11.6640625" style="2955" customWidth="1"/>
    <col min="4109" max="4111" width="7.88671875" style="2955" customWidth="1"/>
    <col min="4112" max="4118" width="0" style="2955" hidden="1" customWidth="1"/>
    <col min="4119" max="4119" width="7.88671875" style="2955" customWidth="1"/>
    <col min="4120" max="4123" width="9" style="2955" customWidth="1"/>
    <col min="4124" max="4124" width="14.88671875" style="2955" customWidth="1"/>
    <col min="4125" max="4125" width="7.88671875" style="2955" customWidth="1"/>
    <col min="4126" max="4126" width="27.77734375" style="2955" customWidth="1"/>
    <col min="4127" max="4129" width="10.6640625" style="2955" customWidth="1"/>
    <col min="4130" max="4131" width="16" style="2955" customWidth="1"/>
    <col min="4132" max="4133" width="14.21875" style="2955" customWidth="1"/>
    <col min="4134" max="4135" width="0" style="2955" hidden="1" customWidth="1"/>
    <col min="4136" max="4136" width="6.21875" style="2955" customWidth="1"/>
    <col min="4137" max="4137" width="5.44140625" style="2955" customWidth="1"/>
    <col min="4138" max="4140" width="0" style="2955" hidden="1" customWidth="1"/>
    <col min="4141" max="4141" width="7.88671875" style="2955" customWidth="1"/>
    <col min="4142" max="4352" width="9" style="2955"/>
    <col min="4353" max="4353" width="21" style="2955" customWidth="1"/>
    <col min="4354" max="4354" width="6.21875" style="2955" customWidth="1"/>
    <col min="4355" max="4355" width="11.6640625" style="2955" customWidth="1"/>
    <col min="4356" max="4356" width="6.21875" style="2955" customWidth="1"/>
    <col min="4357" max="4357" width="4.6640625" style="2955" customWidth="1"/>
    <col min="4358" max="4358" width="19.44140625" style="2955" customWidth="1"/>
    <col min="4359" max="4359" width="7.88671875" style="2955" customWidth="1"/>
    <col min="4360" max="4360" width="13.44140625" style="2955" customWidth="1"/>
    <col min="4361" max="4361" width="12.33203125" style="2955" customWidth="1"/>
    <col min="4362" max="4363" width="13.88671875" style="2955" customWidth="1"/>
    <col min="4364" max="4364" width="11.6640625" style="2955" customWidth="1"/>
    <col min="4365" max="4367" width="7.88671875" style="2955" customWidth="1"/>
    <col min="4368" max="4374" width="0" style="2955" hidden="1" customWidth="1"/>
    <col min="4375" max="4375" width="7.88671875" style="2955" customWidth="1"/>
    <col min="4376" max="4379" width="9" style="2955" customWidth="1"/>
    <col min="4380" max="4380" width="14.88671875" style="2955" customWidth="1"/>
    <col min="4381" max="4381" width="7.88671875" style="2955" customWidth="1"/>
    <col min="4382" max="4382" width="27.77734375" style="2955" customWidth="1"/>
    <col min="4383" max="4385" width="10.6640625" style="2955" customWidth="1"/>
    <col min="4386" max="4387" width="16" style="2955" customWidth="1"/>
    <col min="4388" max="4389" width="14.21875" style="2955" customWidth="1"/>
    <col min="4390" max="4391" width="0" style="2955" hidden="1" customWidth="1"/>
    <col min="4392" max="4392" width="6.21875" style="2955" customWidth="1"/>
    <col min="4393" max="4393" width="5.44140625" style="2955" customWidth="1"/>
    <col min="4394" max="4396" width="0" style="2955" hidden="1" customWidth="1"/>
    <col min="4397" max="4397" width="7.88671875" style="2955" customWidth="1"/>
    <col min="4398" max="4608" width="9" style="2955"/>
    <col min="4609" max="4609" width="21" style="2955" customWidth="1"/>
    <col min="4610" max="4610" width="6.21875" style="2955" customWidth="1"/>
    <col min="4611" max="4611" width="11.6640625" style="2955" customWidth="1"/>
    <col min="4612" max="4612" width="6.21875" style="2955" customWidth="1"/>
    <col min="4613" max="4613" width="4.6640625" style="2955" customWidth="1"/>
    <col min="4614" max="4614" width="19.44140625" style="2955" customWidth="1"/>
    <col min="4615" max="4615" width="7.88671875" style="2955" customWidth="1"/>
    <col min="4616" max="4616" width="13.44140625" style="2955" customWidth="1"/>
    <col min="4617" max="4617" width="12.33203125" style="2955" customWidth="1"/>
    <col min="4618" max="4619" width="13.88671875" style="2955" customWidth="1"/>
    <col min="4620" max="4620" width="11.6640625" style="2955" customWidth="1"/>
    <col min="4621" max="4623" width="7.88671875" style="2955" customWidth="1"/>
    <col min="4624" max="4630" width="0" style="2955" hidden="1" customWidth="1"/>
    <col min="4631" max="4631" width="7.88671875" style="2955" customWidth="1"/>
    <col min="4632" max="4635" width="9" style="2955" customWidth="1"/>
    <col min="4636" max="4636" width="14.88671875" style="2955" customWidth="1"/>
    <col min="4637" max="4637" width="7.88671875" style="2955" customWidth="1"/>
    <col min="4638" max="4638" width="27.77734375" style="2955" customWidth="1"/>
    <col min="4639" max="4641" width="10.6640625" style="2955" customWidth="1"/>
    <col min="4642" max="4643" width="16" style="2955" customWidth="1"/>
    <col min="4644" max="4645" width="14.21875" style="2955" customWidth="1"/>
    <col min="4646" max="4647" width="0" style="2955" hidden="1" customWidth="1"/>
    <col min="4648" max="4648" width="6.21875" style="2955" customWidth="1"/>
    <col min="4649" max="4649" width="5.44140625" style="2955" customWidth="1"/>
    <col min="4650" max="4652" width="0" style="2955" hidden="1" customWidth="1"/>
    <col min="4653" max="4653" width="7.88671875" style="2955" customWidth="1"/>
    <col min="4654" max="4864" width="9" style="2955"/>
    <col min="4865" max="4865" width="21" style="2955" customWidth="1"/>
    <col min="4866" max="4866" width="6.21875" style="2955" customWidth="1"/>
    <col min="4867" max="4867" width="11.6640625" style="2955" customWidth="1"/>
    <col min="4868" max="4868" width="6.21875" style="2955" customWidth="1"/>
    <col min="4869" max="4869" width="4.6640625" style="2955" customWidth="1"/>
    <col min="4870" max="4870" width="19.44140625" style="2955" customWidth="1"/>
    <col min="4871" max="4871" width="7.88671875" style="2955" customWidth="1"/>
    <col min="4872" max="4872" width="13.44140625" style="2955" customWidth="1"/>
    <col min="4873" max="4873" width="12.33203125" style="2955" customWidth="1"/>
    <col min="4874" max="4875" width="13.88671875" style="2955" customWidth="1"/>
    <col min="4876" max="4876" width="11.6640625" style="2955" customWidth="1"/>
    <col min="4877" max="4879" width="7.88671875" style="2955" customWidth="1"/>
    <col min="4880" max="4886" width="0" style="2955" hidden="1" customWidth="1"/>
    <col min="4887" max="4887" width="7.88671875" style="2955" customWidth="1"/>
    <col min="4888" max="4891" width="9" style="2955" customWidth="1"/>
    <col min="4892" max="4892" width="14.88671875" style="2955" customWidth="1"/>
    <col min="4893" max="4893" width="7.88671875" style="2955" customWidth="1"/>
    <col min="4894" max="4894" width="27.77734375" style="2955" customWidth="1"/>
    <col min="4895" max="4897" width="10.6640625" style="2955" customWidth="1"/>
    <col min="4898" max="4899" width="16" style="2955" customWidth="1"/>
    <col min="4900" max="4901" width="14.21875" style="2955" customWidth="1"/>
    <col min="4902" max="4903" width="0" style="2955" hidden="1" customWidth="1"/>
    <col min="4904" max="4904" width="6.21875" style="2955" customWidth="1"/>
    <col min="4905" max="4905" width="5.44140625" style="2955" customWidth="1"/>
    <col min="4906" max="4908" width="0" style="2955" hidden="1" customWidth="1"/>
    <col min="4909" max="4909" width="7.88671875" style="2955" customWidth="1"/>
    <col min="4910" max="5120" width="9" style="2955"/>
    <col min="5121" max="5121" width="21" style="2955" customWidth="1"/>
    <col min="5122" max="5122" width="6.21875" style="2955" customWidth="1"/>
    <col min="5123" max="5123" width="11.6640625" style="2955" customWidth="1"/>
    <col min="5124" max="5124" width="6.21875" style="2955" customWidth="1"/>
    <col min="5125" max="5125" width="4.6640625" style="2955" customWidth="1"/>
    <col min="5126" max="5126" width="19.44140625" style="2955" customWidth="1"/>
    <col min="5127" max="5127" width="7.88671875" style="2955" customWidth="1"/>
    <col min="5128" max="5128" width="13.44140625" style="2955" customWidth="1"/>
    <col min="5129" max="5129" width="12.33203125" style="2955" customWidth="1"/>
    <col min="5130" max="5131" width="13.88671875" style="2955" customWidth="1"/>
    <col min="5132" max="5132" width="11.6640625" style="2955" customWidth="1"/>
    <col min="5133" max="5135" width="7.88671875" style="2955" customWidth="1"/>
    <col min="5136" max="5142" width="0" style="2955" hidden="1" customWidth="1"/>
    <col min="5143" max="5143" width="7.88671875" style="2955" customWidth="1"/>
    <col min="5144" max="5147" width="9" style="2955" customWidth="1"/>
    <col min="5148" max="5148" width="14.88671875" style="2955" customWidth="1"/>
    <col min="5149" max="5149" width="7.88671875" style="2955" customWidth="1"/>
    <col min="5150" max="5150" width="27.77734375" style="2955" customWidth="1"/>
    <col min="5151" max="5153" width="10.6640625" style="2955" customWidth="1"/>
    <col min="5154" max="5155" width="16" style="2955" customWidth="1"/>
    <col min="5156" max="5157" width="14.21875" style="2955" customWidth="1"/>
    <col min="5158" max="5159" width="0" style="2955" hidden="1" customWidth="1"/>
    <col min="5160" max="5160" width="6.21875" style="2955" customWidth="1"/>
    <col min="5161" max="5161" width="5.44140625" style="2955" customWidth="1"/>
    <col min="5162" max="5164" width="0" style="2955" hidden="1" customWidth="1"/>
    <col min="5165" max="5165" width="7.88671875" style="2955" customWidth="1"/>
    <col min="5166" max="5376" width="9" style="2955"/>
    <col min="5377" max="5377" width="21" style="2955" customWidth="1"/>
    <col min="5378" max="5378" width="6.21875" style="2955" customWidth="1"/>
    <col min="5379" max="5379" width="11.6640625" style="2955" customWidth="1"/>
    <col min="5380" max="5380" width="6.21875" style="2955" customWidth="1"/>
    <col min="5381" max="5381" width="4.6640625" style="2955" customWidth="1"/>
    <col min="5382" max="5382" width="19.44140625" style="2955" customWidth="1"/>
    <col min="5383" max="5383" width="7.88671875" style="2955" customWidth="1"/>
    <col min="5384" max="5384" width="13.44140625" style="2955" customWidth="1"/>
    <col min="5385" max="5385" width="12.33203125" style="2955" customWidth="1"/>
    <col min="5386" max="5387" width="13.88671875" style="2955" customWidth="1"/>
    <col min="5388" max="5388" width="11.6640625" style="2955" customWidth="1"/>
    <col min="5389" max="5391" width="7.88671875" style="2955" customWidth="1"/>
    <col min="5392" max="5398" width="0" style="2955" hidden="1" customWidth="1"/>
    <col min="5399" max="5399" width="7.88671875" style="2955" customWidth="1"/>
    <col min="5400" max="5403" width="9" style="2955" customWidth="1"/>
    <col min="5404" max="5404" width="14.88671875" style="2955" customWidth="1"/>
    <col min="5405" max="5405" width="7.88671875" style="2955" customWidth="1"/>
    <col min="5406" max="5406" width="27.77734375" style="2955" customWidth="1"/>
    <col min="5407" max="5409" width="10.6640625" style="2955" customWidth="1"/>
    <col min="5410" max="5411" width="16" style="2955" customWidth="1"/>
    <col min="5412" max="5413" width="14.21875" style="2955" customWidth="1"/>
    <col min="5414" max="5415" width="0" style="2955" hidden="1" customWidth="1"/>
    <col min="5416" max="5416" width="6.21875" style="2955" customWidth="1"/>
    <col min="5417" max="5417" width="5.44140625" style="2955" customWidth="1"/>
    <col min="5418" max="5420" width="0" style="2955" hidden="1" customWidth="1"/>
    <col min="5421" max="5421" width="7.88671875" style="2955" customWidth="1"/>
    <col min="5422" max="5632" width="9" style="2955"/>
    <col min="5633" max="5633" width="21" style="2955" customWidth="1"/>
    <col min="5634" max="5634" width="6.21875" style="2955" customWidth="1"/>
    <col min="5635" max="5635" width="11.6640625" style="2955" customWidth="1"/>
    <col min="5636" max="5636" width="6.21875" style="2955" customWidth="1"/>
    <col min="5637" max="5637" width="4.6640625" style="2955" customWidth="1"/>
    <col min="5638" max="5638" width="19.44140625" style="2955" customWidth="1"/>
    <col min="5639" max="5639" width="7.88671875" style="2955" customWidth="1"/>
    <col min="5640" max="5640" width="13.44140625" style="2955" customWidth="1"/>
    <col min="5641" max="5641" width="12.33203125" style="2955" customWidth="1"/>
    <col min="5642" max="5643" width="13.88671875" style="2955" customWidth="1"/>
    <col min="5644" max="5644" width="11.6640625" style="2955" customWidth="1"/>
    <col min="5645" max="5647" width="7.88671875" style="2955" customWidth="1"/>
    <col min="5648" max="5654" width="0" style="2955" hidden="1" customWidth="1"/>
    <col min="5655" max="5655" width="7.88671875" style="2955" customWidth="1"/>
    <col min="5656" max="5659" width="9" style="2955" customWidth="1"/>
    <col min="5660" max="5660" width="14.88671875" style="2955" customWidth="1"/>
    <col min="5661" max="5661" width="7.88671875" style="2955" customWidth="1"/>
    <col min="5662" max="5662" width="27.77734375" style="2955" customWidth="1"/>
    <col min="5663" max="5665" width="10.6640625" style="2955" customWidth="1"/>
    <col min="5666" max="5667" width="16" style="2955" customWidth="1"/>
    <col min="5668" max="5669" width="14.21875" style="2955" customWidth="1"/>
    <col min="5670" max="5671" width="0" style="2955" hidden="1" customWidth="1"/>
    <col min="5672" max="5672" width="6.21875" style="2955" customWidth="1"/>
    <col min="5673" max="5673" width="5.44140625" style="2955" customWidth="1"/>
    <col min="5674" max="5676" width="0" style="2955" hidden="1" customWidth="1"/>
    <col min="5677" max="5677" width="7.88671875" style="2955" customWidth="1"/>
    <col min="5678" max="5888" width="9" style="2955"/>
    <col min="5889" max="5889" width="21" style="2955" customWidth="1"/>
    <col min="5890" max="5890" width="6.21875" style="2955" customWidth="1"/>
    <col min="5891" max="5891" width="11.6640625" style="2955" customWidth="1"/>
    <col min="5892" max="5892" width="6.21875" style="2955" customWidth="1"/>
    <col min="5893" max="5893" width="4.6640625" style="2955" customWidth="1"/>
    <col min="5894" max="5894" width="19.44140625" style="2955" customWidth="1"/>
    <col min="5895" max="5895" width="7.88671875" style="2955" customWidth="1"/>
    <col min="5896" max="5896" width="13.44140625" style="2955" customWidth="1"/>
    <col min="5897" max="5897" width="12.33203125" style="2955" customWidth="1"/>
    <col min="5898" max="5899" width="13.88671875" style="2955" customWidth="1"/>
    <col min="5900" max="5900" width="11.6640625" style="2955" customWidth="1"/>
    <col min="5901" max="5903" width="7.88671875" style="2955" customWidth="1"/>
    <col min="5904" max="5910" width="0" style="2955" hidden="1" customWidth="1"/>
    <col min="5911" max="5911" width="7.88671875" style="2955" customWidth="1"/>
    <col min="5912" max="5915" width="9" style="2955" customWidth="1"/>
    <col min="5916" max="5916" width="14.88671875" style="2955" customWidth="1"/>
    <col min="5917" max="5917" width="7.88671875" style="2955" customWidth="1"/>
    <col min="5918" max="5918" width="27.77734375" style="2955" customWidth="1"/>
    <col min="5919" max="5921" width="10.6640625" style="2955" customWidth="1"/>
    <col min="5922" max="5923" width="16" style="2955" customWidth="1"/>
    <col min="5924" max="5925" width="14.21875" style="2955" customWidth="1"/>
    <col min="5926" max="5927" width="0" style="2955" hidden="1" customWidth="1"/>
    <col min="5928" max="5928" width="6.21875" style="2955" customWidth="1"/>
    <col min="5929" max="5929" width="5.44140625" style="2955" customWidth="1"/>
    <col min="5930" max="5932" width="0" style="2955" hidden="1" customWidth="1"/>
    <col min="5933" max="5933" width="7.88671875" style="2955" customWidth="1"/>
    <col min="5934" max="6144" width="9" style="2955"/>
    <col min="6145" max="6145" width="21" style="2955" customWidth="1"/>
    <col min="6146" max="6146" width="6.21875" style="2955" customWidth="1"/>
    <col min="6147" max="6147" width="11.6640625" style="2955" customWidth="1"/>
    <col min="6148" max="6148" width="6.21875" style="2955" customWidth="1"/>
    <col min="6149" max="6149" width="4.6640625" style="2955" customWidth="1"/>
    <col min="6150" max="6150" width="19.44140625" style="2955" customWidth="1"/>
    <col min="6151" max="6151" width="7.88671875" style="2955" customWidth="1"/>
    <col min="6152" max="6152" width="13.44140625" style="2955" customWidth="1"/>
    <col min="6153" max="6153" width="12.33203125" style="2955" customWidth="1"/>
    <col min="6154" max="6155" width="13.88671875" style="2955" customWidth="1"/>
    <col min="6156" max="6156" width="11.6640625" style="2955" customWidth="1"/>
    <col min="6157" max="6159" width="7.88671875" style="2955" customWidth="1"/>
    <col min="6160" max="6166" width="0" style="2955" hidden="1" customWidth="1"/>
    <col min="6167" max="6167" width="7.88671875" style="2955" customWidth="1"/>
    <col min="6168" max="6171" width="9" style="2955" customWidth="1"/>
    <col min="6172" max="6172" width="14.88671875" style="2955" customWidth="1"/>
    <col min="6173" max="6173" width="7.88671875" style="2955" customWidth="1"/>
    <col min="6174" max="6174" width="27.77734375" style="2955" customWidth="1"/>
    <col min="6175" max="6177" width="10.6640625" style="2955" customWidth="1"/>
    <col min="6178" max="6179" width="16" style="2955" customWidth="1"/>
    <col min="6180" max="6181" width="14.21875" style="2955" customWidth="1"/>
    <col min="6182" max="6183" width="0" style="2955" hidden="1" customWidth="1"/>
    <col min="6184" max="6184" width="6.21875" style="2955" customWidth="1"/>
    <col min="6185" max="6185" width="5.44140625" style="2955" customWidth="1"/>
    <col min="6186" max="6188" width="0" style="2955" hidden="1" customWidth="1"/>
    <col min="6189" max="6189" width="7.88671875" style="2955" customWidth="1"/>
    <col min="6190" max="6400" width="9" style="2955"/>
    <col min="6401" max="6401" width="21" style="2955" customWidth="1"/>
    <col min="6402" max="6402" width="6.21875" style="2955" customWidth="1"/>
    <col min="6403" max="6403" width="11.6640625" style="2955" customWidth="1"/>
    <col min="6404" max="6404" width="6.21875" style="2955" customWidth="1"/>
    <col min="6405" max="6405" width="4.6640625" style="2955" customWidth="1"/>
    <col min="6406" max="6406" width="19.44140625" style="2955" customWidth="1"/>
    <col min="6407" max="6407" width="7.88671875" style="2955" customWidth="1"/>
    <col min="6408" max="6408" width="13.44140625" style="2955" customWidth="1"/>
    <col min="6409" max="6409" width="12.33203125" style="2955" customWidth="1"/>
    <col min="6410" max="6411" width="13.88671875" style="2955" customWidth="1"/>
    <col min="6412" max="6412" width="11.6640625" style="2955" customWidth="1"/>
    <col min="6413" max="6415" width="7.88671875" style="2955" customWidth="1"/>
    <col min="6416" max="6422" width="0" style="2955" hidden="1" customWidth="1"/>
    <col min="6423" max="6423" width="7.88671875" style="2955" customWidth="1"/>
    <col min="6424" max="6427" width="9" style="2955" customWidth="1"/>
    <col min="6428" max="6428" width="14.88671875" style="2955" customWidth="1"/>
    <col min="6429" max="6429" width="7.88671875" style="2955" customWidth="1"/>
    <col min="6430" max="6430" width="27.77734375" style="2955" customWidth="1"/>
    <col min="6431" max="6433" width="10.6640625" style="2955" customWidth="1"/>
    <col min="6434" max="6435" width="16" style="2955" customWidth="1"/>
    <col min="6436" max="6437" width="14.21875" style="2955" customWidth="1"/>
    <col min="6438" max="6439" width="0" style="2955" hidden="1" customWidth="1"/>
    <col min="6440" max="6440" width="6.21875" style="2955" customWidth="1"/>
    <col min="6441" max="6441" width="5.44140625" style="2955" customWidth="1"/>
    <col min="6442" max="6444" width="0" style="2955" hidden="1" customWidth="1"/>
    <col min="6445" max="6445" width="7.88671875" style="2955" customWidth="1"/>
    <col min="6446" max="6656" width="9" style="2955"/>
    <col min="6657" max="6657" width="21" style="2955" customWidth="1"/>
    <col min="6658" max="6658" width="6.21875" style="2955" customWidth="1"/>
    <col min="6659" max="6659" width="11.6640625" style="2955" customWidth="1"/>
    <col min="6660" max="6660" width="6.21875" style="2955" customWidth="1"/>
    <col min="6661" max="6661" width="4.6640625" style="2955" customWidth="1"/>
    <col min="6662" max="6662" width="19.44140625" style="2955" customWidth="1"/>
    <col min="6663" max="6663" width="7.88671875" style="2955" customWidth="1"/>
    <col min="6664" max="6664" width="13.44140625" style="2955" customWidth="1"/>
    <col min="6665" max="6665" width="12.33203125" style="2955" customWidth="1"/>
    <col min="6666" max="6667" width="13.88671875" style="2955" customWidth="1"/>
    <col min="6668" max="6668" width="11.6640625" style="2955" customWidth="1"/>
    <col min="6669" max="6671" width="7.88671875" style="2955" customWidth="1"/>
    <col min="6672" max="6678" width="0" style="2955" hidden="1" customWidth="1"/>
    <col min="6679" max="6679" width="7.88671875" style="2955" customWidth="1"/>
    <col min="6680" max="6683" width="9" style="2955" customWidth="1"/>
    <col min="6684" max="6684" width="14.88671875" style="2955" customWidth="1"/>
    <col min="6685" max="6685" width="7.88671875" style="2955" customWidth="1"/>
    <col min="6686" max="6686" width="27.77734375" style="2955" customWidth="1"/>
    <col min="6687" max="6689" width="10.6640625" style="2955" customWidth="1"/>
    <col min="6690" max="6691" width="16" style="2955" customWidth="1"/>
    <col min="6692" max="6693" width="14.21875" style="2955" customWidth="1"/>
    <col min="6694" max="6695" width="0" style="2955" hidden="1" customWidth="1"/>
    <col min="6696" max="6696" width="6.21875" style="2955" customWidth="1"/>
    <col min="6697" max="6697" width="5.44140625" style="2955" customWidth="1"/>
    <col min="6698" max="6700" width="0" style="2955" hidden="1" customWidth="1"/>
    <col min="6701" max="6701" width="7.88671875" style="2955" customWidth="1"/>
    <col min="6702" max="6912" width="9" style="2955"/>
    <col min="6913" max="6913" width="21" style="2955" customWidth="1"/>
    <col min="6914" max="6914" width="6.21875" style="2955" customWidth="1"/>
    <col min="6915" max="6915" width="11.6640625" style="2955" customWidth="1"/>
    <col min="6916" max="6916" width="6.21875" style="2955" customWidth="1"/>
    <col min="6917" max="6917" width="4.6640625" style="2955" customWidth="1"/>
    <col min="6918" max="6918" width="19.44140625" style="2955" customWidth="1"/>
    <col min="6919" max="6919" width="7.88671875" style="2955" customWidth="1"/>
    <col min="6920" max="6920" width="13.44140625" style="2955" customWidth="1"/>
    <col min="6921" max="6921" width="12.33203125" style="2955" customWidth="1"/>
    <col min="6922" max="6923" width="13.88671875" style="2955" customWidth="1"/>
    <col min="6924" max="6924" width="11.6640625" style="2955" customWidth="1"/>
    <col min="6925" max="6927" width="7.88671875" style="2955" customWidth="1"/>
    <col min="6928" max="6934" width="0" style="2955" hidden="1" customWidth="1"/>
    <col min="6935" max="6935" width="7.88671875" style="2955" customWidth="1"/>
    <col min="6936" max="6939" width="9" style="2955" customWidth="1"/>
    <col min="6940" max="6940" width="14.88671875" style="2955" customWidth="1"/>
    <col min="6941" max="6941" width="7.88671875" style="2955" customWidth="1"/>
    <col min="6942" max="6942" width="27.77734375" style="2955" customWidth="1"/>
    <col min="6943" max="6945" width="10.6640625" style="2955" customWidth="1"/>
    <col min="6946" max="6947" width="16" style="2955" customWidth="1"/>
    <col min="6948" max="6949" width="14.21875" style="2955" customWidth="1"/>
    <col min="6950" max="6951" width="0" style="2955" hidden="1" customWidth="1"/>
    <col min="6952" max="6952" width="6.21875" style="2955" customWidth="1"/>
    <col min="6953" max="6953" width="5.44140625" style="2955" customWidth="1"/>
    <col min="6954" max="6956" width="0" style="2955" hidden="1" customWidth="1"/>
    <col min="6957" max="6957" width="7.88671875" style="2955" customWidth="1"/>
    <col min="6958" max="7168" width="9" style="2955"/>
    <col min="7169" max="7169" width="21" style="2955" customWidth="1"/>
    <col min="7170" max="7170" width="6.21875" style="2955" customWidth="1"/>
    <col min="7171" max="7171" width="11.6640625" style="2955" customWidth="1"/>
    <col min="7172" max="7172" width="6.21875" style="2955" customWidth="1"/>
    <col min="7173" max="7173" width="4.6640625" style="2955" customWidth="1"/>
    <col min="7174" max="7174" width="19.44140625" style="2955" customWidth="1"/>
    <col min="7175" max="7175" width="7.88671875" style="2955" customWidth="1"/>
    <col min="7176" max="7176" width="13.44140625" style="2955" customWidth="1"/>
    <col min="7177" max="7177" width="12.33203125" style="2955" customWidth="1"/>
    <col min="7178" max="7179" width="13.88671875" style="2955" customWidth="1"/>
    <col min="7180" max="7180" width="11.6640625" style="2955" customWidth="1"/>
    <col min="7181" max="7183" width="7.88671875" style="2955" customWidth="1"/>
    <col min="7184" max="7190" width="0" style="2955" hidden="1" customWidth="1"/>
    <col min="7191" max="7191" width="7.88671875" style="2955" customWidth="1"/>
    <col min="7192" max="7195" width="9" style="2955" customWidth="1"/>
    <col min="7196" max="7196" width="14.88671875" style="2955" customWidth="1"/>
    <col min="7197" max="7197" width="7.88671875" style="2955" customWidth="1"/>
    <col min="7198" max="7198" width="27.77734375" style="2955" customWidth="1"/>
    <col min="7199" max="7201" width="10.6640625" style="2955" customWidth="1"/>
    <col min="7202" max="7203" width="16" style="2955" customWidth="1"/>
    <col min="7204" max="7205" width="14.21875" style="2955" customWidth="1"/>
    <col min="7206" max="7207" width="0" style="2955" hidden="1" customWidth="1"/>
    <col min="7208" max="7208" width="6.21875" style="2955" customWidth="1"/>
    <col min="7209" max="7209" width="5.44140625" style="2955" customWidth="1"/>
    <col min="7210" max="7212" width="0" style="2955" hidden="1" customWidth="1"/>
    <col min="7213" max="7213" width="7.88671875" style="2955" customWidth="1"/>
    <col min="7214" max="7424" width="9" style="2955"/>
    <col min="7425" max="7425" width="21" style="2955" customWidth="1"/>
    <col min="7426" max="7426" width="6.21875" style="2955" customWidth="1"/>
    <col min="7427" max="7427" width="11.6640625" style="2955" customWidth="1"/>
    <col min="7428" max="7428" width="6.21875" style="2955" customWidth="1"/>
    <col min="7429" max="7429" width="4.6640625" style="2955" customWidth="1"/>
    <col min="7430" max="7430" width="19.44140625" style="2955" customWidth="1"/>
    <col min="7431" max="7431" width="7.88671875" style="2955" customWidth="1"/>
    <col min="7432" max="7432" width="13.44140625" style="2955" customWidth="1"/>
    <col min="7433" max="7433" width="12.33203125" style="2955" customWidth="1"/>
    <col min="7434" max="7435" width="13.88671875" style="2955" customWidth="1"/>
    <col min="7436" max="7436" width="11.6640625" style="2955" customWidth="1"/>
    <col min="7437" max="7439" width="7.88671875" style="2955" customWidth="1"/>
    <col min="7440" max="7446" width="0" style="2955" hidden="1" customWidth="1"/>
    <col min="7447" max="7447" width="7.88671875" style="2955" customWidth="1"/>
    <col min="7448" max="7451" width="9" style="2955" customWidth="1"/>
    <col min="7452" max="7452" width="14.88671875" style="2955" customWidth="1"/>
    <col min="7453" max="7453" width="7.88671875" style="2955" customWidth="1"/>
    <col min="7454" max="7454" width="27.77734375" style="2955" customWidth="1"/>
    <col min="7455" max="7457" width="10.6640625" style="2955" customWidth="1"/>
    <col min="7458" max="7459" width="16" style="2955" customWidth="1"/>
    <col min="7460" max="7461" width="14.21875" style="2955" customWidth="1"/>
    <col min="7462" max="7463" width="0" style="2955" hidden="1" customWidth="1"/>
    <col min="7464" max="7464" width="6.21875" style="2955" customWidth="1"/>
    <col min="7465" max="7465" width="5.44140625" style="2955" customWidth="1"/>
    <col min="7466" max="7468" width="0" style="2955" hidden="1" customWidth="1"/>
    <col min="7469" max="7469" width="7.88671875" style="2955" customWidth="1"/>
    <col min="7470" max="7680" width="9" style="2955"/>
    <col min="7681" max="7681" width="21" style="2955" customWidth="1"/>
    <col min="7682" max="7682" width="6.21875" style="2955" customWidth="1"/>
    <col min="7683" max="7683" width="11.6640625" style="2955" customWidth="1"/>
    <col min="7684" max="7684" width="6.21875" style="2955" customWidth="1"/>
    <col min="7685" max="7685" width="4.6640625" style="2955" customWidth="1"/>
    <col min="7686" max="7686" width="19.44140625" style="2955" customWidth="1"/>
    <col min="7687" max="7687" width="7.88671875" style="2955" customWidth="1"/>
    <col min="7688" max="7688" width="13.44140625" style="2955" customWidth="1"/>
    <col min="7689" max="7689" width="12.33203125" style="2955" customWidth="1"/>
    <col min="7690" max="7691" width="13.88671875" style="2955" customWidth="1"/>
    <col min="7692" max="7692" width="11.6640625" style="2955" customWidth="1"/>
    <col min="7693" max="7695" width="7.88671875" style="2955" customWidth="1"/>
    <col min="7696" max="7702" width="0" style="2955" hidden="1" customWidth="1"/>
    <col min="7703" max="7703" width="7.88671875" style="2955" customWidth="1"/>
    <col min="7704" max="7707" width="9" style="2955" customWidth="1"/>
    <col min="7708" max="7708" width="14.88671875" style="2955" customWidth="1"/>
    <col min="7709" max="7709" width="7.88671875" style="2955" customWidth="1"/>
    <col min="7710" max="7710" width="27.77734375" style="2955" customWidth="1"/>
    <col min="7711" max="7713" width="10.6640625" style="2955" customWidth="1"/>
    <col min="7714" max="7715" width="16" style="2955" customWidth="1"/>
    <col min="7716" max="7717" width="14.21875" style="2955" customWidth="1"/>
    <col min="7718" max="7719" width="0" style="2955" hidden="1" customWidth="1"/>
    <col min="7720" max="7720" width="6.21875" style="2955" customWidth="1"/>
    <col min="7721" max="7721" width="5.44140625" style="2955" customWidth="1"/>
    <col min="7722" max="7724" width="0" style="2955" hidden="1" customWidth="1"/>
    <col min="7725" max="7725" width="7.88671875" style="2955" customWidth="1"/>
    <col min="7726" max="7936" width="9" style="2955"/>
    <col min="7937" max="7937" width="21" style="2955" customWidth="1"/>
    <col min="7938" max="7938" width="6.21875" style="2955" customWidth="1"/>
    <col min="7939" max="7939" width="11.6640625" style="2955" customWidth="1"/>
    <col min="7940" max="7940" width="6.21875" style="2955" customWidth="1"/>
    <col min="7941" max="7941" width="4.6640625" style="2955" customWidth="1"/>
    <col min="7942" max="7942" width="19.44140625" style="2955" customWidth="1"/>
    <col min="7943" max="7943" width="7.88671875" style="2955" customWidth="1"/>
    <col min="7944" max="7944" width="13.44140625" style="2955" customWidth="1"/>
    <col min="7945" max="7945" width="12.33203125" style="2955" customWidth="1"/>
    <col min="7946" max="7947" width="13.88671875" style="2955" customWidth="1"/>
    <col min="7948" max="7948" width="11.6640625" style="2955" customWidth="1"/>
    <col min="7949" max="7951" width="7.88671875" style="2955" customWidth="1"/>
    <col min="7952" max="7958" width="0" style="2955" hidden="1" customWidth="1"/>
    <col min="7959" max="7959" width="7.88671875" style="2955" customWidth="1"/>
    <col min="7960" max="7963" width="9" style="2955" customWidth="1"/>
    <col min="7964" max="7964" width="14.88671875" style="2955" customWidth="1"/>
    <col min="7965" max="7965" width="7.88671875" style="2955" customWidth="1"/>
    <col min="7966" max="7966" width="27.77734375" style="2955" customWidth="1"/>
    <col min="7967" max="7969" width="10.6640625" style="2955" customWidth="1"/>
    <col min="7970" max="7971" width="16" style="2955" customWidth="1"/>
    <col min="7972" max="7973" width="14.21875" style="2955" customWidth="1"/>
    <col min="7974" max="7975" width="0" style="2955" hidden="1" customWidth="1"/>
    <col min="7976" max="7976" width="6.21875" style="2955" customWidth="1"/>
    <col min="7977" max="7977" width="5.44140625" style="2955" customWidth="1"/>
    <col min="7978" max="7980" width="0" style="2955" hidden="1" customWidth="1"/>
    <col min="7981" max="7981" width="7.88671875" style="2955" customWidth="1"/>
    <col min="7982" max="8192" width="9" style="2955"/>
    <col min="8193" max="8193" width="21" style="2955" customWidth="1"/>
    <col min="8194" max="8194" width="6.21875" style="2955" customWidth="1"/>
    <col min="8195" max="8195" width="11.6640625" style="2955" customWidth="1"/>
    <col min="8196" max="8196" width="6.21875" style="2955" customWidth="1"/>
    <col min="8197" max="8197" width="4.6640625" style="2955" customWidth="1"/>
    <col min="8198" max="8198" width="19.44140625" style="2955" customWidth="1"/>
    <col min="8199" max="8199" width="7.88671875" style="2955" customWidth="1"/>
    <col min="8200" max="8200" width="13.44140625" style="2955" customWidth="1"/>
    <col min="8201" max="8201" width="12.33203125" style="2955" customWidth="1"/>
    <col min="8202" max="8203" width="13.88671875" style="2955" customWidth="1"/>
    <col min="8204" max="8204" width="11.6640625" style="2955" customWidth="1"/>
    <col min="8205" max="8207" width="7.88671875" style="2955" customWidth="1"/>
    <col min="8208" max="8214" width="0" style="2955" hidden="1" customWidth="1"/>
    <col min="8215" max="8215" width="7.88671875" style="2955" customWidth="1"/>
    <col min="8216" max="8219" width="9" style="2955" customWidth="1"/>
    <col min="8220" max="8220" width="14.88671875" style="2955" customWidth="1"/>
    <col min="8221" max="8221" width="7.88671875" style="2955" customWidth="1"/>
    <col min="8222" max="8222" width="27.77734375" style="2955" customWidth="1"/>
    <col min="8223" max="8225" width="10.6640625" style="2955" customWidth="1"/>
    <col min="8226" max="8227" width="16" style="2955" customWidth="1"/>
    <col min="8228" max="8229" width="14.21875" style="2955" customWidth="1"/>
    <col min="8230" max="8231" width="0" style="2955" hidden="1" customWidth="1"/>
    <col min="8232" max="8232" width="6.21875" style="2955" customWidth="1"/>
    <col min="8233" max="8233" width="5.44140625" style="2955" customWidth="1"/>
    <col min="8234" max="8236" width="0" style="2955" hidden="1" customWidth="1"/>
    <col min="8237" max="8237" width="7.88671875" style="2955" customWidth="1"/>
    <col min="8238" max="8448" width="9" style="2955"/>
    <col min="8449" max="8449" width="21" style="2955" customWidth="1"/>
    <col min="8450" max="8450" width="6.21875" style="2955" customWidth="1"/>
    <col min="8451" max="8451" width="11.6640625" style="2955" customWidth="1"/>
    <col min="8452" max="8452" width="6.21875" style="2955" customWidth="1"/>
    <col min="8453" max="8453" width="4.6640625" style="2955" customWidth="1"/>
    <col min="8454" max="8454" width="19.44140625" style="2955" customWidth="1"/>
    <col min="8455" max="8455" width="7.88671875" style="2955" customWidth="1"/>
    <col min="8456" max="8456" width="13.44140625" style="2955" customWidth="1"/>
    <col min="8457" max="8457" width="12.33203125" style="2955" customWidth="1"/>
    <col min="8458" max="8459" width="13.88671875" style="2955" customWidth="1"/>
    <col min="8460" max="8460" width="11.6640625" style="2955" customWidth="1"/>
    <col min="8461" max="8463" width="7.88671875" style="2955" customWidth="1"/>
    <col min="8464" max="8470" width="0" style="2955" hidden="1" customWidth="1"/>
    <col min="8471" max="8471" width="7.88671875" style="2955" customWidth="1"/>
    <col min="8472" max="8475" width="9" style="2955" customWidth="1"/>
    <col min="8476" max="8476" width="14.88671875" style="2955" customWidth="1"/>
    <col min="8477" max="8477" width="7.88671875" style="2955" customWidth="1"/>
    <col min="8478" max="8478" width="27.77734375" style="2955" customWidth="1"/>
    <col min="8479" max="8481" width="10.6640625" style="2955" customWidth="1"/>
    <col min="8482" max="8483" width="16" style="2955" customWidth="1"/>
    <col min="8484" max="8485" width="14.21875" style="2955" customWidth="1"/>
    <col min="8486" max="8487" width="0" style="2955" hidden="1" customWidth="1"/>
    <col min="8488" max="8488" width="6.21875" style="2955" customWidth="1"/>
    <col min="8489" max="8489" width="5.44140625" style="2955" customWidth="1"/>
    <col min="8490" max="8492" width="0" style="2955" hidden="1" customWidth="1"/>
    <col min="8493" max="8493" width="7.88671875" style="2955" customWidth="1"/>
    <col min="8494" max="8704" width="9" style="2955"/>
    <col min="8705" max="8705" width="21" style="2955" customWidth="1"/>
    <col min="8706" max="8706" width="6.21875" style="2955" customWidth="1"/>
    <col min="8707" max="8707" width="11.6640625" style="2955" customWidth="1"/>
    <col min="8708" max="8708" width="6.21875" style="2955" customWidth="1"/>
    <col min="8709" max="8709" width="4.6640625" style="2955" customWidth="1"/>
    <col min="8710" max="8710" width="19.44140625" style="2955" customWidth="1"/>
    <col min="8711" max="8711" width="7.88671875" style="2955" customWidth="1"/>
    <col min="8712" max="8712" width="13.44140625" style="2955" customWidth="1"/>
    <col min="8713" max="8713" width="12.33203125" style="2955" customWidth="1"/>
    <col min="8714" max="8715" width="13.88671875" style="2955" customWidth="1"/>
    <col min="8716" max="8716" width="11.6640625" style="2955" customWidth="1"/>
    <col min="8717" max="8719" width="7.88671875" style="2955" customWidth="1"/>
    <col min="8720" max="8726" width="0" style="2955" hidden="1" customWidth="1"/>
    <col min="8727" max="8727" width="7.88671875" style="2955" customWidth="1"/>
    <col min="8728" max="8731" width="9" style="2955" customWidth="1"/>
    <col min="8732" max="8732" width="14.88671875" style="2955" customWidth="1"/>
    <col min="8733" max="8733" width="7.88671875" style="2955" customWidth="1"/>
    <col min="8734" max="8734" width="27.77734375" style="2955" customWidth="1"/>
    <col min="8735" max="8737" width="10.6640625" style="2955" customWidth="1"/>
    <col min="8738" max="8739" width="16" style="2955" customWidth="1"/>
    <col min="8740" max="8741" width="14.21875" style="2955" customWidth="1"/>
    <col min="8742" max="8743" width="0" style="2955" hidden="1" customWidth="1"/>
    <col min="8744" max="8744" width="6.21875" style="2955" customWidth="1"/>
    <col min="8745" max="8745" width="5.44140625" style="2955" customWidth="1"/>
    <col min="8746" max="8748" width="0" style="2955" hidden="1" customWidth="1"/>
    <col min="8749" max="8749" width="7.88671875" style="2955" customWidth="1"/>
    <col min="8750" max="8960" width="9" style="2955"/>
    <col min="8961" max="8961" width="21" style="2955" customWidth="1"/>
    <col min="8962" max="8962" width="6.21875" style="2955" customWidth="1"/>
    <col min="8963" max="8963" width="11.6640625" style="2955" customWidth="1"/>
    <col min="8964" max="8964" width="6.21875" style="2955" customWidth="1"/>
    <col min="8965" max="8965" width="4.6640625" style="2955" customWidth="1"/>
    <col min="8966" max="8966" width="19.44140625" style="2955" customWidth="1"/>
    <col min="8967" max="8967" width="7.88671875" style="2955" customWidth="1"/>
    <col min="8968" max="8968" width="13.44140625" style="2955" customWidth="1"/>
    <col min="8969" max="8969" width="12.33203125" style="2955" customWidth="1"/>
    <col min="8970" max="8971" width="13.88671875" style="2955" customWidth="1"/>
    <col min="8972" max="8972" width="11.6640625" style="2955" customWidth="1"/>
    <col min="8973" max="8975" width="7.88671875" style="2955" customWidth="1"/>
    <col min="8976" max="8982" width="0" style="2955" hidden="1" customWidth="1"/>
    <col min="8983" max="8983" width="7.88671875" style="2955" customWidth="1"/>
    <col min="8984" max="8987" width="9" style="2955" customWidth="1"/>
    <col min="8988" max="8988" width="14.88671875" style="2955" customWidth="1"/>
    <col min="8989" max="8989" width="7.88671875" style="2955" customWidth="1"/>
    <col min="8990" max="8990" width="27.77734375" style="2955" customWidth="1"/>
    <col min="8991" max="8993" width="10.6640625" style="2955" customWidth="1"/>
    <col min="8994" max="8995" width="16" style="2955" customWidth="1"/>
    <col min="8996" max="8997" width="14.21875" style="2955" customWidth="1"/>
    <col min="8998" max="8999" width="0" style="2955" hidden="1" customWidth="1"/>
    <col min="9000" max="9000" width="6.21875" style="2955" customWidth="1"/>
    <col min="9001" max="9001" width="5.44140625" style="2955" customWidth="1"/>
    <col min="9002" max="9004" width="0" style="2955" hidden="1" customWidth="1"/>
    <col min="9005" max="9005" width="7.88671875" style="2955" customWidth="1"/>
    <col min="9006" max="9216" width="9" style="2955"/>
    <col min="9217" max="9217" width="21" style="2955" customWidth="1"/>
    <col min="9218" max="9218" width="6.21875" style="2955" customWidth="1"/>
    <col min="9219" max="9219" width="11.6640625" style="2955" customWidth="1"/>
    <col min="9220" max="9220" width="6.21875" style="2955" customWidth="1"/>
    <col min="9221" max="9221" width="4.6640625" style="2955" customWidth="1"/>
    <col min="9222" max="9222" width="19.44140625" style="2955" customWidth="1"/>
    <col min="9223" max="9223" width="7.88671875" style="2955" customWidth="1"/>
    <col min="9224" max="9224" width="13.44140625" style="2955" customWidth="1"/>
    <col min="9225" max="9225" width="12.33203125" style="2955" customWidth="1"/>
    <col min="9226" max="9227" width="13.88671875" style="2955" customWidth="1"/>
    <col min="9228" max="9228" width="11.6640625" style="2955" customWidth="1"/>
    <col min="9229" max="9231" width="7.88671875" style="2955" customWidth="1"/>
    <col min="9232" max="9238" width="0" style="2955" hidden="1" customWidth="1"/>
    <col min="9239" max="9239" width="7.88671875" style="2955" customWidth="1"/>
    <col min="9240" max="9243" width="9" style="2955" customWidth="1"/>
    <col min="9244" max="9244" width="14.88671875" style="2955" customWidth="1"/>
    <col min="9245" max="9245" width="7.88671875" style="2955" customWidth="1"/>
    <col min="9246" max="9246" width="27.77734375" style="2955" customWidth="1"/>
    <col min="9247" max="9249" width="10.6640625" style="2955" customWidth="1"/>
    <col min="9250" max="9251" width="16" style="2955" customWidth="1"/>
    <col min="9252" max="9253" width="14.21875" style="2955" customWidth="1"/>
    <col min="9254" max="9255" width="0" style="2955" hidden="1" customWidth="1"/>
    <col min="9256" max="9256" width="6.21875" style="2955" customWidth="1"/>
    <col min="9257" max="9257" width="5.44140625" style="2955" customWidth="1"/>
    <col min="9258" max="9260" width="0" style="2955" hidden="1" customWidth="1"/>
    <col min="9261" max="9261" width="7.88671875" style="2955" customWidth="1"/>
    <col min="9262" max="9472" width="9" style="2955"/>
    <col min="9473" max="9473" width="21" style="2955" customWidth="1"/>
    <col min="9474" max="9474" width="6.21875" style="2955" customWidth="1"/>
    <col min="9475" max="9475" width="11.6640625" style="2955" customWidth="1"/>
    <col min="9476" max="9476" width="6.21875" style="2955" customWidth="1"/>
    <col min="9477" max="9477" width="4.6640625" style="2955" customWidth="1"/>
    <col min="9478" max="9478" width="19.44140625" style="2955" customWidth="1"/>
    <col min="9479" max="9479" width="7.88671875" style="2955" customWidth="1"/>
    <col min="9480" max="9480" width="13.44140625" style="2955" customWidth="1"/>
    <col min="9481" max="9481" width="12.33203125" style="2955" customWidth="1"/>
    <col min="9482" max="9483" width="13.88671875" style="2955" customWidth="1"/>
    <col min="9484" max="9484" width="11.6640625" style="2955" customWidth="1"/>
    <col min="9485" max="9487" width="7.88671875" style="2955" customWidth="1"/>
    <col min="9488" max="9494" width="0" style="2955" hidden="1" customWidth="1"/>
    <col min="9495" max="9495" width="7.88671875" style="2955" customWidth="1"/>
    <col min="9496" max="9499" width="9" style="2955" customWidth="1"/>
    <col min="9500" max="9500" width="14.88671875" style="2955" customWidth="1"/>
    <col min="9501" max="9501" width="7.88671875" style="2955" customWidth="1"/>
    <col min="9502" max="9502" width="27.77734375" style="2955" customWidth="1"/>
    <col min="9503" max="9505" width="10.6640625" style="2955" customWidth="1"/>
    <col min="9506" max="9507" width="16" style="2955" customWidth="1"/>
    <col min="9508" max="9509" width="14.21875" style="2955" customWidth="1"/>
    <col min="9510" max="9511" width="0" style="2955" hidden="1" customWidth="1"/>
    <col min="9512" max="9512" width="6.21875" style="2955" customWidth="1"/>
    <col min="9513" max="9513" width="5.44140625" style="2955" customWidth="1"/>
    <col min="9514" max="9516" width="0" style="2955" hidden="1" customWidth="1"/>
    <col min="9517" max="9517" width="7.88671875" style="2955" customWidth="1"/>
    <col min="9518" max="9728" width="9" style="2955"/>
    <col min="9729" max="9729" width="21" style="2955" customWidth="1"/>
    <col min="9730" max="9730" width="6.21875" style="2955" customWidth="1"/>
    <col min="9731" max="9731" width="11.6640625" style="2955" customWidth="1"/>
    <col min="9732" max="9732" width="6.21875" style="2955" customWidth="1"/>
    <col min="9733" max="9733" width="4.6640625" style="2955" customWidth="1"/>
    <col min="9734" max="9734" width="19.44140625" style="2955" customWidth="1"/>
    <col min="9735" max="9735" width="7.88671875" style="2955" customWidth="1"/>
    <col min="9736" max="9736" width="13.44140625" style="2955" customWidth="1"/>
    <col min="9737" max="9737" width="12.33203125" style="2955" customWidth="1"/>
    <col min="9738" max="9739" width="13.88671875" style="2955" customWidth="1"/>
    <col min="9740" max="9740" width="11.6640625" style="2955" customWidth="1"/>
    <col min="9741" max="9743" width="7.88671875" style="2955" customWidth="1"/>
    <col min="9744" max="9750" width="0" style="2955" hidden="1" customWidth="1"/>
    <col min="9751" max="9751" width="7.88671875" style="2955" customWidth="1"/>
    <col min="9752" max="9755" width="9" style="2955" customWidth="1"/>
    <col min="9756" max="9756" width="14.88671875" style="2955" customWidth="1"/>
    <col min="9757" max="9757" width="7.88671875" style="2955" customWidth="1"/>
    <col min="9758" max="9758" width="27.77734375" style="2955" customWidth="1"/>
    <col min="9759" max="9761" width="10.6640625" style="2955" customWidth="1"/>
    <col min="9762" max="9763" width="16" style="2955" customWidth="1"/>
    <col min="9764" max="9765" width="14.21875" style="2955" customWidth="1"/>
    <col min="9766" max="9767" width="0" style="2955" hidden="1" customWidth="1"/>
    <col min="9768" max="9768" width="6.21875" style="2955" customWidth="1"/>
    <col min="9769" max="9769" width="5.44140625" style="2955" customWidth="1"/>
    <col min="9770" max="9772" width="0" style="2955" hidden="1" customWidth="1"/>
    <col min="9773" max="9773" width="7.88671875" style="2955" customWidth="1"/>
    <col min="9774" max="9984" width="9" style="2955"/>
    <col min="9985" max="9985" width="21" style="2955" customWidth="1"/>
    <col min="9986" max="9986" width="6.21875" style="2955" customWidth="1"/>
    <col min="9987" max="9987" width="11.6640625" style="2955" customWidth="1"/>
    <col min="9988" max="9988" width="6.21875" style="2955" customWidth="1"/>
    <col min="9989" max="9989" width="4.6640625" style="2955" customWidth="1"/>
    <col min="9990" max="9990" width="19.44140625" style="2955" customWidth="1"/>
    <col min="9991" max="9991" width="7.88671875" style="2955" customWidth="1"/>
    <col min="9992" max="9992" width="13.44140625" style="2955" customWidth="1"/>
    <col min="9993" max="9993" width="12.33203125" style="2955" customWidth="1"/>
    <col min="9994" max="9995" width="13.88671875" style="2955" customWidth="1"/>
    <col min="9996" max="9996" width="11.6640625" style="2955" customWidth="1"/>
    <col min="9997" max="9999" width="7.88671875" style="2955" customWidth="1"/>
    <col min="10000" max="10006" width="0" style="2955" hidden="1" customWidth="1"/>
    <col min="10007" max="10007" width="7.88671875" style="2955" customWidth="1"/>
    <col min="10008" max="10011" width="9" style="2955" customWidth="1"/>
    <col min="10012" max="10012" width="14.88671875" style="2955" customWidth="1"/>
    <col min="10013" max="10013" width="7.88671875" style="2955" customWidth="1"/>
    <col min="10014" max="10014" width="27.77734375" style="2955" customWidth="1"/>
    <col min="10015" max="10017" width="10.6640625" style="2955" customWidth="1"/>
    <col min="10018" max="10019" width="16" style="2955" customWidth="1"/>
    <col min="10020" max="10021" width="14.21875" style="2955" customWidth="1"/>
    <col min="10022" max="10023" width="0" style="2955" hidden="1" customWidth="1"/>
    <col min="10024" max="10024" width="6.21875" style="2955" customWidth="1"/>
    <col min="10025" max="10025" width="5.44140625" style="2955" customWidth="1"/>
    <col min="10026" max="10028" width="0" style="2955" hidden="1" customWidth="1"/>
    <col min="10029" max="10029" width="7.88671875" style="2955" customWidth="1"/>
    <col min="10030" max="10240" width="9" style="2955"/>
    <col min="10241" max="10241" width="21" style="2955" customWidth="1"/>
    <col min="10242" max="10242" width="6.21875" style="2955" customWidth="1"/>
    <col min="10243" max="10243" width="11.6640625" style="2955" customWidth="1"/>
    <col min="10244" max="10244" width="6.21875" style="2955" customWidth="1"/>
    <col min="10245" max="10245" width="4.6640625" style="2955" customWidth="1"/>
    <col min="10246" max="10246" width="19.44140625" style="2955" customWidth="1"/>
    <col min="10247" max="10247" width="7.88671875" style="2955" customWidth="1"/>
    <col min="10248" max="10248" width="13.44140625" style="2955" customWidth="1"/>
    <col min="10249" max="10249" width="12.33203125" style="2955" customWidth="1"/>
    <col min="10250" max="10251" width="13.88671875" style="2955" customWidth="1"/>
    <col min="10252" max="10252" width="11.6640625" style="2955" customWidth="1"/>
    <col min="10253" max="10255" width="7.88671875" style="2955" customWidth="1"/>
    <col min="10256" max="10262" width="0" style="2955" hidden="1" customWidth="1"/>
    <col min="10263" max="10263" width="7.88671875" style="2955" customWidth="1"/>
    <col min="10264" max="10267" width="9" style="2955" customWidth="1"/>
    <col min="10268" max="10268" width="14.88671875" style="2955" customWidth="1"/>
    <col min="10269" max="10269" width="7.88671875" style="2955" customWidth="1"/>
    <col min="10270" max="10270" width="27.77734375" style="2955" customWidth="1"/>
    <col min="10271" max="10273" width="10.6640625" style="2955" customWidth="1"/>
    <col min="10274" max="10275" width="16" style="2955" customWidth="1"/>
    <col min="10276" max="10277" width="14.21875" style="2955" customWidth="1"/>
    <col min="10278" max="10279" width="0" style="2955" hidden="1" customWidth="1"/>
    <col min="10280" max="10280" width="6.21875" style="2955" customWidth="1"/>
    <col min="10281" max="10281" width="5.44140625" style="2955" customWidth="1"/>
    <col min="10282" max="10284" width="0" style="2955" hidden="1" customWidth="1"/>
    <col min="10285" max="10285" width="7.88671875" style="2955" customWidth="1"/>
    <col min="10286" max="10496" width="9" style="2955"/>
    <col min="10497" max="10497" width="21" style="2955" customWidth="1"/>
    <col min="10498" max="10498" width="6.21875" style="2955" customWidth="1"/>
    <col min="10499" max="10499" width="11.6640625" style="2955" customWidth="1"/>
    <col min="10500" max="10500" width="6.21875" style="2955" customWidth="1"/>
    <col min="10501" max="10501" width="4.6640625" style="2955" customWidth="1"/>
    <col min="10502" max="10502" width="19.44140625" style="2955" customWidth="1"/>
    <col min="10503" max="10503" width="7.88671875" style="2955" customWidth="1"/>
    <col min="10504" max="10504" width="13.44140625" style="2955" customWidth="1"/>
    <col min="10505" max="10505" width="12.33203125" style="2955" customWidth="1"/>
    <col min="10506" max="10507" width="13.88671875" style="2955" customWidth="1"/>
    <col min="10508" max="10508" width="11.6640625" style="2955" customWidth="1"/>
    <col min="10509" max="10511" width="7.88671875" style="2955" customWidth="1"/>
    <col min="10512" max="10518" width="0" style="2955" hidden="1" customWidth="1"/>
    <col min="10519" max="10519" width="7.88671875" style="2955" customWidth="1"/>
    <col min="10520" max="10523" width="9" style="2955" customWidth="1"/>
    <col min="10524" max="10524" width="14.88671875" style="2955" customWidth="1"/>
    <col min="10525" max="10525" width="7.88671875" style="2955" customWidth="1"/>
    <col min="10526" max="10526" width="27.77734375" style="2955" customWidth="1"/>
    <col min="10527" max="10529" width="10.6640625" style="2955" customWidth="1"/>
    <col min="10530" max="10531" width="16" style="2955" customWidth="1"/>
    <col min="10532" max="10533" width="14.21875" style="2955" customWidth="1"/>
    <col min="10534" max="10535" width="0" style="2955" hidden="1" customWidth="1"/>
    <col min="10536" max="10536" width="6.21875" style="2955" customWidth="1"/>
    <col min="10537" max="10537" width="5.44140625" style="2955" customWidth="1"/>
    <col min="10538" max="10540" width="0" style="2955" hidden="1" customWidth="1"/>
    <col min="10541" max="10541" width="7.88671875" style="2955" customWidth="1"/>
    <col min="10542" max="10752" width="9" style="2955"/>
    <col min="10753" max="10753" width="21" style="2955" customWidth="1"/>
    <col min="10754" max="10754" width="6.21875" style="2955" customWidth="1"/>
    <col min="10755" max="10755" width="11.6640625" style="2955" customWidth="1"/>
    <col min="10756" max="10756" width="6.21875" style="2955" customWidth="1"/>
    <col min="10757" max="10757" width="4.6640625" style="2955" customWidth="1"/>
    <col min="10758" max="10758" width="19.44140625" style="2955" customWidth="1"/>
    <col min="10759" max="10759" width="7.88671875" style="2955" customWidth="1"/>
    <col min="10760" max="10760" width="13.44140625" style="2955" customWidth="1"/>
    <col min="10761" max="10761" width="12.33203125" style="2955" customWidth="1"/>
    <col min="10762" max="10763" width="13.88671875" style="2955" customWidth="1"/>
    <col min="10764" max="10764" width="11.6640625" style="2955" customWidth="1"/>
    <col min="10765" max="10767" width="7.88671875" style="2955" customWidth="1"/>
    <col min="10768" max="10774" width="0" style="2955" hidden="1" customWidth="1"/>
    <col min="10775" max="10775" width="7.88671875" style="2955" customWidth="1"/>
    <col min="10776" max="10779" width="9" style="2955" customWidth="1"/>
    <col min="10780" max="10780" width="14.88671875" style="2955" customWidth="1"/>
    <col min="10781" max="10781" width="7.88671875" style="2955" customWidth="1"/>
    <col min="10782" max="10782" width="27.77734375" style="2955" customWidth="1"/>
    <col min="10783" max="10785" width="10.6640625" style="2955" customWidth="1"/>
    <col min="10786" max="10787" width="16" style="2955" customWidth="1"/>
    <col min="10788" max="10789" width="14.21875" style="2955" customWidth="1"/>
    <col min="10790" max="10791" width="0" style="2955" hidden="1" customWidth="1"/>
    <col min="10792" max="10792" width="6.21875" style="2955" customWidth="1"/>
    <col min="10793" max="10793" width="5.44140625" style="2955" customWidth="1"/>
    <col min="10794" max="10796" width="0" style="2955" hidden="1" customWidth="1"/>
    <col min="10797" max="10797" width="7.88671875" style="2955" customWidth="1"/>
    <col min="10798" max="11008" width="9" style="2955"/>
    <col min="11009" max="11009" width="21" style="2955" customWidth="1"/>
    <col min="11010" max="11010" width="6.21875" style="2955" customWidth="1"/>
    <col min="11011" max="11011" width="11.6640625" style="2955" customWidth="1"/>
    <col min="11012" max="11012" width="6.21875" style="2955" customWidth="1"/>
    <col min="11013" max="11013" width="4.6640625" style="2955" customWidth="1"/>
    <col min="11014" max="11014" width="19.44140625" style="2955" customWidth="1"/>
    <col min="11015" max="11015" width="7.88671875" style="2955" customWidth="1"/>
    <col min="11016" max="11016" width="13.44140625" style="2955" customWidth="1"/>
    <col min="11017" max="11017" width="12.33203125" style="2955" customWidth="1"/>
    <col min="11018" max="11019" width="13.88671875" style="2955" customWidth="1"/>
    <col min="11020" max="11020" width="11.6640625" style="2955" customWidth="1"/>
    <col min="11021" max="11023" width="7.88671875" style="2955" customWidth="1"/>
    <col min="11024" max="11030" width="0" style="2955" hidden="1" customWidth="1"/>
    <col min="11031" max="11031" width="7.88671875" style="2955" customWidth="1"/>
    <col min="11032" max="11035" width="9" style="2955" customWidth="1"/>
    <col min="11036" max="11036" width="14.88671875" style="2955" customWidth="1"/>
    <col min="11037" max="11037" width="7.88671875" style="2955" customWidth="1"/>
    <col min="11038" max="11038" width="27.77734375" style="2955" customWidth="1"/>
    <col min="11039" max="11041" width="10.6640625" style="2955" customWidth="1"/>
    <col min="11042" max="11043" width="16" style="2955" customWidth="1"/>
    <col min="11044" max="11045" width="14.21875" style="2955" customWidth="1"/>
    <col min="11046" max="11047" width="0" style="2955" hidden="1" customWidth="1"/>
    <col min="11048" max="11048" width="6.21875" style="2955" customWidth="1"/>
    <col min="11049" max="11049" width="5.44140625" style="2955" customWidth="1"/>
    <col min="11050" max="11052" width="0" style="2955" hidden="1" customWidth="1"/>
    <col min="11053" max="11053" width="7.88671875" style="2955" customWidth="1"/>
    <col min="11054" max="11264" width="9" style="2955"/>
    <col min="11265" max="11265" width="21" style="2955" customWidth="1"/>
    <col min="11266" max="11266" width="6.21875" style="2955" customWidth="1"/>
    <col min="11267" max="11267" width="11.6640625" style="2955" customWidth="1"/>
    <col min="11268" max="11268" width="6.21875" style="2955" customWidth="1"/>
    <col min="11269" max="11269" width="4.6640625" style="2955" customWidth="1"/>
    <col min="11270" max="11270" width="19.44140625" style="2955" customWidth="1"/>
    <col min="11271" max="11271" width="7.88671875" style="2955" customWidth="1"/>
    <col min="11272" max="11272" width="13.44140625" style="2955" customWidth="1"/>
    <col min="11273" max="11273" width="12.33203125" style="2955" customWidth="1"/>
    <col min="11274" max="11275" width="13.88671875" style="2955" customWidth="1"/>
    <col min="11276" max="11276" width="11.6640625" style="2955" customWidth="1"/>
    <col min="11277" max="11279" width="7.88671875" style="2955" customWidth="1"/>
    <col min="11280" max="11286" width="0" style="2955" hidden="1" customWidth="1"/>
    <col min="11287" max="11287" width="7.88671875" style="2955" customWidth="1"/>
    <col min="11288" max="11291" width="9" style="2955" customWidth="1"/>
    <col min="11292" max="11292" width="14.88671875" style="2955" customWidth="1"/>
    <col min="11293" max="11293" width="7.88671875" style="2955" customWidth="1"/>
    <col min="11294" max="11294" width="27.77734375" style="2955" customWidth="1"/>
    <col min="11295" max="11297" width="10.6640625" style="2955" customWidth="1"/>
    <col min="11298" max="11299" width="16" style="2955" customWidth="1"/>
    <col min="11300" max="11301" width="14.21875" style="2955" customWidth="1"/>
    <col min="11302" max="11303" width="0" style="2955" hidden="1" customWidth="1"/>
    <col min="11304" max="11304" width="6.21875" style="2955" customWidth="1"/>
    <col min="11305" max="11305" width="5.44140625" style="2955" customWidth="1"/>
    <col min="11306" max="11308" width="0" style="2955" hidden="1" customWidth="1"/>
    <col min="11309" max="11309" width="7.88671875" style="2955" customWidth="1"/>
    <col min="11310" max="11520" width="9" style="2955"/>
    <col min="11521" max="11521" width="21" style="2955" customWidth="1"/>
    <col min="11522" max="11522" width="6.21875" style="2955" customWidth="1"/>
    <col min="11523" max="11523" width="11.6640625" style="2955" customWidth="1"/>
    <col min="11524" max="11524" width="6.21875" style="2955" customWidth="1"/>
    <col min="11525" max="11525" width="4.6640625" style="2955" customWidth="1"/>
    <col min="11526" max="11526" width="19.44140625" style="2955" customWidth="1"/>
    <col min="11527" max="11527" width="7.88671875" style="2955" customWidth="1"/>
    <col min="11528" max="11528" width="13.44140625" style="2955" customWidth="1"/>
    <col min="11529" max="11529" width="12.33203125" style="2955" customWidth="1"/>
    <col min="11530" max="11531" width="13.88671875" style="2955" customWidth="1"/>
    <col min="11532" max="11532" width="11.6640625" style="2955" customWidth="1"/>
    <col min="11533" max="11535" width="7.88671875" style="2955" customWidth="1"/>
    <col min="11536" max="11542" width="0" style="2955" hidden="1" customWidth="1"/>
    <col min="11543" max="11543" width="7.88671875" style="2955" customWidth="1"/>
    <col min="11544" max="11547" width="9" style="2955" customWidth="1"/>
    <col min="11548" max="11548" width="14.88671875" style="2955" customWidth="1"/>
    <col min="11549" max="11549" width="7.88671875" style="2955" customWidth="1"/>
    <col min="11550" max="11550" width="27.77734375" style="2955" customWidth="1"/>
    <col min="11551" max="11553" width="10.6640625" style="2955" customWidth="1"/>
    <col min="11554" max="11555" width="16" style="2955" customWidth="1"/>
    <col min="11556" max="11557" width="14.21875" style="2955" customWidth="1"/>
    <col min="11558" max="11559" width="0" style="2955" hidden="1" customWidth="1"/>
    <col min="11560" max="11560" width="6.21875" style="2955" customWidth="1"/>
    <col min="11561" max="11561" width="5.44140625" style="2955" customWidth="1"/>
    <col min="11562" max="11564" width="0" style="2955" hidden="1" customWidth="1"/>
    <col min="11565" max="11565" width="7.88671875" style="2955" customWidth="1"/>
    <col min="11566" max="11776" width="9" style="2955"/>
    <col min="11777" max="11777" width="21" style="2955" customWidth="1"/>
    <col min="11778" max="11778" width="6.21875" style="2955" customWidth="1"/>
    <col min="11779" max="11779" width="11.6640625" style="2955" customWidth="1"/>
    <col min="11780" max="11780" width="6.21875" style="2955" customWidth="1"/>
    <col min="11781" max="11781" width="4.6640625" style="2955" customWidth="1"/>
    <col min="11782" max="11782" width="19.44140625" style="2955" customWidth="1"/>
    <col min="11783" max="11783" width="7.88671875" style="2955" customWidth="1"/>
    <col min="11784" max="11784" width="13.44140625" style="2955" customWidth="1"/>
    <col min="11785" max="11785" width="12.33203125" style="2955" customWidth="1"/>
    <col min="11786" max="11787" width="13.88671875" style="2955" customWidth="1"/>
    <col min="11788" max="11788" width="11.6640625" style="2955" customWidth="1"/>
    <col min="11789" max="11791" width="7.88671875" style="2955" customWidth="1"/>
    <col min="11792" max="11798" width="0" style="2955" hidden="1" customWidth="1"/>
    <col min="11799" max="11799" width="7.88671875" style="2955" customWidth="1"/>
    <col min="11800" max="11803" width="9" style="2955" customWidth="1"/>
    <col min="11804" max="11804" width="14.88671875" style="2955" customWidth="1"/>
    <col min="11805" max="11805" width="7.88671875" style="2955" customWidth="1"/>
    <col min="11806" max="11806" width="27.77734375" style="2955" customWidth="1"/>
    <col min="11807" max="11809" width="10.6640625" style="2955" customWidth="1"/>
    <col min="11810" max="11811" width="16" style="2955" customWidth="1"/>
    <col min="11812" max="11813" width="14.21875" style="2955" customWidth="1"/>
    <col min="11814" max="11815" width="0" style="2955" hidden="1" customWidth="1"/>
    <col min="11816" max="11816" width="6.21875" style="2955" customWidth="1"/>
    <col min="11817" max="11817" width="5.44140625" style="2955" customWidth="1"/>
    <col min="11818" max="11820" width="0" style="2955" hidden="1" customWidth="1"/>
    <col min="11821" max="11821" width="7.88671875" style="2955" customWidth="1"/>
    <col min="11822" max="12032" width="9" style="2955"/>
    <col min="12033" max="12033" width="21" style="2955" customWidth="1"/>
    <col min="12034" max="12034" width="6.21875" style="2955" customWidth="1"/>
    <col min="12035" max="12035" width="11.6640625" style="2955" customWidth="1"/>
    <col min="12036" max="12036" width="6.21875" style="2955" customWidth="1"/>
    <col min="12037" max="12037" width="4.6640625" style="2955" customWidth="1"/>
    <col min="12038" max="12038" width="19.44140625" style="2955" customWidth="1"/>
    <col min="12039" max="12039" width="7.88671875" style="2955" customWidth="1"/>
    <col min="12040" max="12040" width="13.44140625" style="2955" customWidth="1"/>
    <col min="12041" max="12041" width="12.33203125" style="2955" customWidth="1"/>
    <col min="12042" max="12043" width="13.88671875" style="2955" customWidth="1"/>
    <col min="12044" max="12044" width="11.6640625" style="2955" customWidth="1"/>
    <col min="12045" max="12047" width="7.88671875" style="2955" customWidth="1"/>
    <col min="12048" max="12054" width="0" style="2955" hidden="1" customWidth="1"/>
    <col min="12055" max="12055" width="7.88671875" style="2955" customWidth="1"/>
    <col min="12056" max="12059" width="9" style="2955" customWidth="1"/>
    <col min="12060" max="12060" width="14.88671875" style="2955" customWidth="1"/>
    <col min="12061" max="12061" width="7.88671875" style="2955" customWidth="1"/>
    <col min="12062" max="12062" width="27.77734375" style="2955" customWidth="1"/>
    <col min="12063" max="12065" width="10.6640625" style="2955" customWidth="1"/>
    <col min="12066" max="12067" width="16" style="2955" customWidth="1"/>
    <col min="12068" max="12069" width="14.21875" style="2955" customWidth="1"/>
    <col min="12070" max="12071" width="0" style="2955" hidden="1" customWidth="1"/>
    <col min="12072" max="12072" width="6.21875" style="2955" customWidth="1"/>
    <col min="12073" max="12073" width="5.44140625" style="2955" customWidth="1"/>
    <col min="12074" max="12076" width="0" style="2955" hidden="1" customWidth="1"/>
    <col min="12077" max="12077" width="7.88671875" style="2955" customWidth="1"/>
    <col min="12078" max="12288" width="9" style="2955"/>
    <col min="12289" max="12289" width="21" style="2955" customWidth="1"/>
    <col min="12290" max="12290" width="6.21875" style="2955" customWidth="1"/>
    <col min="12291" max="12291" width="11.6640625" style="2955" customWidth="1"/>
    <col min="12292" max="12292" width="6.21875" style="2955" customWidth="1"/>
    <col min="12293" max="12293" width="4.6640625" style="2955" customWidth="1"/>
    <col min="12294" max="12294" width="19.44140625" style="2955" customWidth="1"/>
    <col min="12295" max="12295" width="7.88671875" style="2955" customWidth="1"/>
    <col min="12296" max="12296" width="13.44140625" style="2955" customWidth="1"/>
    <col min="12297" max="12297" width="12.33203125" style="2955" customWidth="1"/>
    <col min="12298" max="12299" width="13.88671875" style="2955" customWidth="1"/>
    <col min="12300" max="12300" width="11.6640625" style="2955" customWidth="1"/>
    <col min="12301" max="12303" width="7.88671875" style="2955" customWidth="1"/>
    <col min="12304" max="12310" width="0" style="2955" hidden="1" customWidth="1"/>
    <col min="12311" max="12311" width="7.88671875" style="2955" customWidth="1"/>
    <col min="12312" max="12315" width="9" style="2955" customWidth="1"/>
    <col min="12316" max="12316" width="14.88671875" style="2955" customWidth="1"/>
    <col min="12317" max="12317" width="7.88671875" style="2955" customWidth="1"/>
    <col min="12318" max="12318" width="27.77734375" style="2955" customWidth="1"/>
    <col min="12319" max="12321" width="10.6640625" style="2955" customWidth="1"/>
    <col min="12322" max="12323" width="16" style="2955" customWidth="1"/>
    <col min="12324" max="12325" width="14.21875" style="2955" customWidth="1"/>
    <col min="12326" max="12327" width="0" style="2955" hidden="1" customWidth="1"/>
    <col min="12328" max="12328" width="6.21875" style="2955" customWidth="1"/>
    <col min="12329" max="12329" width="5.44140625" style="2955" customWidth="1"/>
    <col min="12330" max="12332" width="0" style="2955" hidden="1" customWidth="1"/>
    <col min="12333" max="12333" width="7.88671875" style="2955" customWidth="1"/>
    <col min="12334" max="12544" width="9" style="2955"/>
    <col min="12545" max="12545" width="21" style="2955" customWidth="1"/>
    <col min="12546" max="12546" width="6.21875" style="2955" customWidth="1"/>
    <col min="12547" max="12547" width="11.6640625" style="2955" customWidth="1"/>
    <col min="12548" max="12548" width="6.21875" style="2955" customWidth="1"/>
    <col min="12549" max="12549" width="4.6640625" style="2955" customWidth="1"/>
    <col min="12550" max="12550" width="19.44140625" style="2955" customWidth="1"/>
    <col min="12551" max="12551" width="7.88671875" style="2955" customWidth="1"/>
    <col min="12552" max="12552" width="13.44140625" style="2955" customWidth="1"/>
    <col min="12553" max="12553" width="12.33203125" style="2955" customWidth="1"/>
    <col min="12554" max="12555" width="13.88671875" style="2955" customWidth="1"/>
    <col min="12556" max="12556" width="11.6640625" style="2955" customWidth="1"/>
    <col min="12557" max="12559" width="7.88671875" style="2955" customWidth="1"/>
    <col min="12560" max="12566" width="0" style="2955" hidden="1" customWidth="1"/>
    <col min="12567" max="12567" width="7.88671875" style="2955" customWidth="1"/>
    <col min="12568" max="12571" width="9" style="2955" customWidth="1"/>
    <col min="12572" max="12572" width="14.88671875" style="2955" customWidth="1"/>
    <col min="12573" max="12573" width="7.88671875" style="2955" customWidth="1"/>
    <col min="12574" max="12574" width="27.77734375" style="2955" customWidth="1"/>
    <col min="12575" max="12577" width="10.6640625" style="2955" customWidth="1"/>
    <col min="12578" max="12579" width="16" style="2955" customWidth="1"/>
    <col min="12580" max="12581" width="14.21875" style="2955" customWidth="1"/>
    <col min="12582" max="12583" width="0" style="2955" hidden="1" customWidth="1"/>
    <col min="12584" max="12584" width="6.21875" style="2955" customWidth="1"/>
    <col min="12585" max="12585" width="5.44140625" style="2955" customWidth="1"/>
    <col min="12586" max="12588" width="0" style="2955" hidden="1" customWidth="1"/>
    <col min="12589" max="12589" width="7.88671875" style="2955" customWidth="1"/>
    <col min="12590" max="12800" width="9" style="2955"/>
    <col min="12801" max="12801" width="21" style="2955" customWidth="1"/>
    <col min="12802" max="12802" width="6.21875" style="2955" customWidth="1"/>
    <col min="12803" max="12803" width="11.6640625" style="2955" customWidth="1"/>
    <col min="12804" max="12804" width="6.21875" style="2955" customWidth="1"/>
    <col min="12805" max="12805" width="4.6640625" style="2955" customWidth="1"/>
    <col min="12806" max="12806" width="19.44140625" style="2955" customWidth="1"/>
    <col min="12807" max="12807" width="7.88671875" style="2955" customWidth="1"/>
    <col min="12808" max="12808" width="13.44140625" style="2955" customWidth="1"/>
    <col min="12809" max="12809" width="12.33203125" style="2955" customWidth="1"/>
    <col min="12810" max="12811" width="13.88671875" style="2955" customWidth="1"/>
    <col min="12812" max="12812" width="11.6640625" style="2955" customWidth="1"/>
    <col min="12813" max="12815" width="7.88671875" style="2955" customWidth="1"/>
    <col min="12816" max="12822" width="0" style="2955" hidden="1" customWidth="1"/>
    <col min="12823" max="12823" width="7.88671875" style="2955" customWidth="1"/>
    <col min="12824" max="12827" width="9" style="2955" customWidth="1"/>
    <col min="12828" max="12828" width="14.88671875" style="2955" customWidth="1"/>
    <col min="12829" max="12829" width="7.88671875" style="2955" customWidth="1"/>
    <col min="12830" max="12830" width="27.77734375" style="2955" customWidth="1"/>
    <col min="12831" max="12833" width="10.6640625" style="2955" customWidth="1"/>
    <col min="12834" max="12835" width="16" style="2955" customWidth="1"/>
    <col min="12836" max="12837" width="14.21875" style="2955" customWidth="1"/>
    <col min="12838" max="12839" width="0" style="2955" hidden="1" customWidth="1"/>
    <col min="12840" max="12840" width="6.21875" style="2955" customWidth="1"/>
    <col min="12841" max="12841" width="5.44140625" style="2955" customWidth="1"/>
    <col min="12842" max="12844" width="0" style="2955" hidden="1" customWidth="1"/>
    <col min="12845" max="12845" width="7.88671875" style="2955" customWidth="1"/>
    <col min="12846" max="13056" width="9" style="2955"/>
    <col min="13057" max="13057" width="21" style="2955" customWidth="1"/>
    <col min="13058" max="13058" width="6.21875" style="2955" customWidth="1"/>
    <col min="13059" max="13059" width="11.6640625" style="2955" customWidth="1"/>
    <col min="13060" max="13060" width="6.21875" style="2955" customWidth="1"/>
    <col min="13061" max="13061" width="4.6640625" style="2955" customWidth="1"/>
    <col min="13062" max="13062" width="19.44140625" style="2955" customWidth="1"/>
    <col min="13063" max="13063" width="7.88671875" style="2955" customWidth="1"/>
    <col min="13064" max="13064" width="13.44140625" style="2955" customWidth="1"/>
    <col min="13065" max="13065" width="12.33203125" style="2955" customWidth="1"/>
    <col min="13066" max="13067" width="13.88671875" style="2955" customWidth="1"/>
    <col min="13068" max="13068" width="11.6640625" style="2955" customWidth="1"/>
    <col min="13069" max="13071" width="7.88671875" style="2955" customWidth="1"/>
    <col min="13072" max="13078" width="0" style="2955" hidden="1" customWidth="1"/>
    <col min="13079" max="13079" width="7.88671875" style="2955" customWidth="1"/>
    <col min="13080" max="13083" width="9" style="2955" customWidth="1"/>
    <col min="13084" max="13084" width="14.88671875" style="2955" customWidth="1"/>
    <col min="13085" max="13085" width="7.88671875" style="2955" customWidth="1"/>
    <col min="13086" max="13086" width="27.77734375" style="2955" customWidth="1"/>
    <col min="13087" max="13089" width="10.6640625" style="2955" customWidth="1"/>
    <col min="13090" max="13091" width="16" style="2955" customWidth="1"/>
    <col min="13092" max="13093" width="14.21875" style="2955" customWidth="1"/>
    <col min="13094" max="13095" width="0" style="2955" hidden="1" customWidth="1"/>
    <col min="13096" max="13096" width="6.21875" style="2955" customWidth="1"/>
    <col min="13097" max="13097" width="5.44140625" style="2955" customWidth="1"/>
    <col min="13098" max="13100" width="0" style="2955" hidden="1" customWidth="1"/>
    <col min="13101" max="13101" width="7.88671875" style="2955" customWidth="1"/>
    <col min="13102" max="13312" width="9" style="2955"/>
    <col min="13313" max="13313" width="21" style="2955" customWidth="1"/>
    <col min="13314" max="13314" width="6.21875" style="2955" customWidth="1"/>
    <col min="13315" max="13315" width="11.6640625" style="2955" customWidth="1"/>
    <col min="13316" max="13316" width="6.21875" style="2955" customWidth="1"/>
    <col min="13317" max="13317" width="4.6640625" style="2955" customWidth="1"/>
    <col min="13318" max="13318" width="19.44140625" style="2955" customWidth="1"/>
    <col min="13319" max="13319" width="7.88671875" style="2955" customWidth="1"/>
    <col min="13320" max="13320" width="13.44140625" style="2955" customWidth="1"/>
    <col min="13321" max="13321" width="12.33203125" style="2955" customWidth="1"/>
    <col min="13322" max="13323" width="13.88671875" style="2955" customWidth="1"/>
    <col min="13324" max="13324" width="11.6640625" style="2955" customWidth="1"/>
    <col min="13325" max="13327" width="7.88671875" style="2955" customWidth="1"/>
    <col min="13328" max="13334" width="0" style="2955" hidden="1" customWidth="1"/>
    <col min="13335" max="13335" width="7.88671875" style="2955" customWidth="1"/>
    <col min="13336" max="13339" width="9" style="2955" customWidth="1"/>
    <col min="13340" max="13340" width="14.88671875" style="2955" customWidth="1"/>
    <col min="13341" max="13341" width="7.88671875" style="2955" customWidth="1"/>
    <col min="13342" max="13342" width="27.77734375" style="2955" customWidth="1"/>
    <col min="13343" max="13345" width="10.6640625" style="2955" customWidth="1"/>
    <col min="13346" max="13347" width="16" style="2955" customWidth="1"/>
    <col min="13348" max="13349" width="14.21875" style="2955" customWidth="1"/>
    <col min="13350" max="13351" width="0" style="2955" hidden="1" customWidth="1"/>
    <col min="13352" max="13352" width="6.21875" style="2955" customWidth="1"/>
    <col min="13353" max="13353" width="5.44140625" style="2955" customWidth="1"/>
    <col min="13354" max="13356" width="0" style="2955" hidden="1" customWidth="1"/>
    <col min="13357" max="13357" width="7.88671875" style="2955" customWidth="1"/>
    <col min="13358" max="13568" width="9" style="2955"/>
    <col min="13569" max="13569" width="21" style="2955" customWidth="1"/>
    <col min="13570" max="13570" width="6.21875" style="2955" customWidth="1"/>
    <col min="13571" max="13571" width="11.6640625" style="2955" customWidth="1"/>
    <col min="13572" max="13572" width="6.21875" style="2955" customWidth="1"/>
    <col min="13573" max="13573" width="4.6640625" style="2955" customWidth="1"/>
    <col min="13574" max="13574" width="19.44140625" style="2955" customWidth="1"/>
    <col min="13575" max="13575" width="7.88671875" style="2955" customWidth="1"/>
    <col min="13576" max="13576" width="13.44140625" style="2955" customWidth="1"/>
    <col min="13577" max="13577" width="12.33203125" style="2955" customWidth="1"/>
    <col min="13578" max="13579" width="13.88671875" style="2955" customWidth="1"/>
    <col min="13580" max="13580" width="11.6640625" style="2955" customWidth="1"/>
    <col min="13581" max="13583" width="7.88671875" style="2955" customWidth="1"/>
    <col min="13584" max="13590" width="0" style="2955" hidden="1" customWidth="1"/>
    <col min="13591" max="13591" width="7.88671875" style="2955" customWidth="1"/>
    <col min="13592" max="13595" width="9" style="2955" customWidth="1"/>
    <col min="13596" max="13596" width="14.88671875" style="2955" customWidth="1"/>
    <col min="13597" max="13597" width="7.88671875" style="2955" customWidth="1"/>
    <col min="13598" max="13598" width="27.77734375" style="2955" customWidth="1"/>
    <col min="13599" max="13601" width="10.6640625" style="2955" customWidth="1"/>
    <col min="13602" max="13603" width="16" style="2955" customWidth="1"/>
    <col min="13604" max="13605" width="14.21875" style="2955" customWidth="1"/>
    <col min="13606" max="13607" width="0" style="2955" hidden="1" customWidth="1"/>
    <col min="13608" max="13608" width="6.21875" style="2955" customWidth="1"/>
    <col min="13609" max="13609" width="5.44140625" style="2955" customWidth="1"/>
    <col min="13610" max="13612" width="0" style="2955" hidden="1" customWidth="1"/>
    <col min="13613" max="13613" width="7.88671875" style="2955" customWidth="1"/>
    <col min="13614" max="13824" width="9" style="2955"/>
    <col min="13825" max="13825" width="21" style="2955" customWidth="1"/>
    <col min="13826" max="13826" width="6.21875" style="2955" customWidth="1"/>
    <col min="13827" max="13827" width="11.6640625" style="2955" customWidth="1"/>
    <col min="13828" max="13828" width="6.21875" style="2955" customWidth="1"/>
    <col min="13829" max="13829" width="4.6640625" style="2955" customWidth="1"/>
    <col min="13830" max="13830" width="19.44140625" style="2955" customWidth="1"/>
    <col min="13831" max="13831" width="7.88671875" style="2955" customWidth="1"/>
    <col min="13832" max="13832" width="13.44140625" style="2955" customWidth="1"/>
    <col min="13833" max="13833" width="12.33203125" style="2955" customWidth="1"/>
    <col min="13834" max="13835" width="13.88671875" style="2955" customWidth="1"/>
    <col min="13836" max="13836" width="11.6640625" style="2955" customWidth="1"/>
    <col min="13837" max="13839" width="7.88671875" style="2955" customWidth="1"/>
    <col min="13840" max="13846" width="0" style="2955" hidden="1" customWidth="1"/>
    <col min="13847" max="13847" width="7.88671875" style="2955" customWidth="1"/>
    <col min="13848" max="13851" width="9" style="2955" customWidth="1"/>
    <col min="13852" max="13852" width="14.88671875" style="2955" customWidth="1"/>
    <col min="13853" max="13853" width="7.88671875" style="2955" customWidth="1"/>
    <col min="13854" max="13854" width="27.77734375" style="2955" customWidth="1"/>
    <col min="13855" max="13857" width="10.6640625" style="2955" customWidth="1"/>
    <col min="13858" max="13859" width="16" style="2955" customWidth="1"/>
    <col min="13860" max="13861" width="14.21875" style="2955" customWidth="1"/>
    <col min="13862" max="13863" width="0" style="2955" hidden="1" customWidth="1"/>
    <col min="13864" max="13864" width="6.21875" style="2955" customWidth="1"/>
    <col min="13865" max="13865" width="5.44140625" style="2955" customWidth="1"/>
    <col min="13866" max="13868" width="0" style="2955" hidden="1" customWidth="1"/>
    <col min="13869" max="13869" width="7.88671875" style="2955" customWidth="1"/>
    <col min="13870" max="14080" width="9" style="2955"/>
    <col min="14081" max="14081" width="21" style="2955" customWidth="1"/>
    <col min="14082" max="14082" width="6.21875" style="2955" customWidth="1"/>
    <col min="14083" max="14083" width="11.6640625" style="2955" customWidth="1"/>
    <col min="14084" max="14084" width="6.21875" style="2955" customWidth="1"/>
    <col min="14085" max="14085" width="4.6640625" style="2955" customWidth="1"/>
    <col min="14086" max="14086" width="19.44140625" style="2955" customWidth="1"/>
    <col min="14087" max="14087" width="7.88671875" style="2955" customWidth="1"/>
    <col min="14088" max="14088" width="13.44140625" style="2955" customWidth="1"/>
    <col min="14089" max="14089" width="12.33203125" style="2955" customWidth="1"/>
    <col min="14090" max="14091" width="13.88671875" style="2955" customWidth="1"/>
    <col min="14092" max="14092" width="11.6640625" style="2955" customWidth="1"/>
    <col min="14093" max="14095" width="7.88671875" style="2955" customWidth="1"/>
    <col min="14096" max="14102" width="0" style="2955" hidden="1" customWidth="1"/>
    <col min="14103" max="14103" width="7.88671875" style="2955" customWidth="1"/>
    <col min="14104" max="14107" width="9" style="2955" customWidth="1"/>
    <col min="14108" max="14108" width="14.88671875" style="2955" customWidth="1"/>
    <col min="14109" max="14109" width="7.88671875" style="2955" customWidth="1"/>
    <col min="14110" max="14110" width="27.77734375" style="2955" customWidth="1"/>
    <col min="14111" max="14113" width="10.6640625" style="2955" customWidth="1"/>
    <col min="14114" max="14115" width="16" style="2955" customWidth="1"/>
    <col min="14116" max="14117" width="14.21875" style="2955" customWidth="1"/>
    <col min="14118" max="14119" width="0" style="2955" hidden="1" customWidth="1"/>
    <col min="14120" max="14120" width="6.21875" style="2955" customWidth="1"/>
    <col min="14121" max="14121" width="5.44140625" style="2955" customWidth="1"/>
    <col min="14122" max="14124" width="0" style="2955" hidden="1" customWidth="1"/>
    <col min="14125" max="14125" width="7.88671875" style="2955" customWidth="1"/>
    <col min="14126" max="14336" width="9" style="2955"/>
    <col min="14337" max="14337" width="21" style="2955" customWidth="1"/>
    <col min="14338" max="14338" width="6.21875" style="2955" customWidth="1"/>
    <col min="14339" max="14339" width="11.6640625" style="2955" customWidth="1"/>
    <col min="14340" max="14340" width="6.21875" style="2955" customWidth="1"/>
    <col min="14341" max="14341" width="4.6640625" style="2955" customWidth="1"/>
    <col min="14342" max="14342" width="19.44140625" style="2955" customWidth="1"/>
    <col min="14343" max="14343" width="7.88671875" style="2955" customWidth="1"/>
    <col min="14344" max="14344" width="13.44140625" style="2955" customWidth="1"/>
    <col min="14345" max="14345" width="12.33203125" style="2955" customWidth="1"/>
    <col min="14346" max="14347" width="13.88671875" style="2955" customWidth="1"/>
    <col min="14348" max="14348" width="11.6640625" style="2955" customWidth="1"/>
    <col min="14349" max="14351" width="7.88671875" style="2955" customWidth="1"/>
    <col min="14352" max="14358" width="0" style="2955" hidden="1" customWidth="1"/>
    <col min="14359" max="14359" width="7.88671875" style="2955" customWidth="1"/>
    <col min="14360" max="14363" width="9" style="2955" customWidth="1"/>
    <col min="14364" max="14364" width="14.88671875" style="2955" customWidth="1"/>
    <col min="14365" max="14365" width="7.88671875" style="2955" customWidth="1"/>
    <col min="14366" max="14366" width="27.77734375" style="2955" customWidth="1"/>
    <col min="14367" max="14369" width="10.6640625" style="2955" customWidth="1"/>
    <col min="14370" max="14371" width="16" style="2955" customWidth="1"/>
    <col min="14372" max="14373" width="14.21875" style="2955" customWidth="1"/>
    <col min="14374" max="14375" width="0" style="2955" hidden="1" customWidth="1"/>
    <col min="14376" max="14376" width="6.21875" style="2955" customWidth="1"/>
    <col min="14377" max="14377" width="5.44140625" style="2955" customWidth="1"/>
    <col min="14378" max="14380" width="0" style="2955" hidden="1" customWidth="1"/>
    <col min="14381" max="14381" width="7.88671875" style="2955" customWidth="1"/>
    <col min="14382" max="14592" width="9" style="2955"/>
    <col min="14593" max="14593" width="21" style="2955" customWidth="1"/>
    <col min="14594" max="14594" width="6.21875" style="2955" customWidth="1"/>
    <col min="14595" max="14595" width="11.6640625" style="2955" customWidth="1"/>
    <col min="14596" max="14596" width="6.21875" style="2955" customWidth="1"/>
    <col min="14597" max="14597" width="4.6640625" style="2955" customWidth="1"/>
    <col min="14598" max="14598" width="19.44140625" style="2955" customWidth="1"/>
    <col min="14599" max="14599" width="7.88671875" style="2955" customWidth="1"/>
    <col min="14600" max="14600" width="13.44140625" style="2955" customWidth="1"/>
    <col min="14601" max="14601" width="12.33203125" style="2955" customWidth="1"/>
    <col min="14602" max="14603" width="13.88671875" style="2955" customWidth="1"/>
    <col min="14604" max="14604" width="11.6640625" style="2955" customWidth="1"/>
    <col min="14605" max="14607" width="7.88671875" style="2955" customWidth="1"/>
    <col min="14608" max="14614" width="0" style="2955" hidden="1" customWidth="1"/>
    <col min="14615" max="14615" width="7.88671875" style="2955" customWidth="1"/>
    <col min="14616" max="14619" width="9" style="2955" customWidth="1"/>
    <col min="14620" max="14620" width="14.88671875" style="2955" customWidth="1"/>
    <col min="14621" max="14621" width="7.88671875" style="2955" customWidth="1"/>
    <col min="14622" max="14622" width="27.77734375" style="2955" customWidth="1"/>
    <col min="14623" max="14625" width="10.6640625" style="2955" customWidth="1"/>
    <col min="14626" max="14627" width="16" style="2955" customWidth="1"/>
    <col min="14628" max="14629" width="14.21875" style="2955" customWidth="1"/>
    <col min="14630" max="14631" width="0" style="2955" hidden="1" customWidth="1"/>
    <col min="14632" max="14632" width="6.21875" style="2955" customWidth="1"/>
    <col min="14633" max="14633" width="5.44140625" style="2955" customWidth="1"/>
    <col min="14634" max="14636" width="0" style="2955" hidden="1" customWidth="1"/>
    <col min="14637" max="14637" width="7.88671875" style="2955" customWidth="1"/>
    <col min="14638" max="14848" width="9" style="2955"/>
    <col min="14849" max="14849" width="21" style="2955" customWidth="1"/>
    <col min="14850" max="14850" width="6.21875" style="2955" customWidth="1"/>
    <col min="14851" max="14851" width="11.6640625" style="2955" customWidth="1"/>
    <col min="14852" max="14852" width="6.21875" style="2955" customWidth="1"/>
    <col min="14853" max="14853" width="4.6640625" style="2955" customWidth="1"/>
    <col min="14854" max="14854" width="19.44140625" style="2955" customWidth="1"/>
    <col min="14855" max="14855" width="7.88671875" style="2955" customWidth="1"/>
    <col min="14856" max="14856" width="13.44140625" style="2955" customWidth="1"/>
    <col min="14857" max="14857" width="12.33203125" style="2955" customWidth="1"/>
    <col min="14858" max="14859" width="13.88671875" style="2955" customWidth="1"/>
    <col min="14860" max="14860" width="11.6640625" style="2955" customWidth="1"/>
    <col min="14861" max="14863" width="7.88671875" style="2955" customWidth="1"/>
    <col min="14864" max="14870" width="0" style="2955" hidden="1" customWidth="1"/>
    <col min="14871" max="14871" width="7.88671875" style="2955" customWidth="1"/>
    <col min="14872" max="14875" width="9" style="2955" customWidth="1"/>
    <col min="14876" max="14876" width="14.88671875" style="2955" customWidth="1"/>
    <col min="14877" max="14877" width="7.88671875" style="2955" customWidth="1"/>
    <col min="14878" max="14878" width="27.77734375" style="2955" customWidth="1"/>
    <col min="14879" max="14881" width="10.6640625" style="2955" customWidth="1"/>
    <col min="14882" max="14883" width="16" style="2955" customWidth="1"/>
    <col min="14884" max="14885" width="14.21875" style="2955" customWidth="1"/>
    <col min="14886" max="14887" width="0" style="2955" hidden="1" customWidth="1"/>
    <col min="14888" max="14888" width="6.21875" style="2955" customWidth="1"/>
    <col min="14889" max="14889" width="5.44140625" style="2955" customWidth="1"/>
    <col min="14890" max="14892" width="0" style="2955" hidden="1" customWidth="1"/>
    <col min="14893" max="14893" width="7.88671875" style="2955" customWidth="1"/>
    <col min="14894" max="15104" width="9" style="2955"/>
    <col min="15105" max="15105" width="21" style="2955" customWidth="1"/>
    <col min="15106" max="15106" width="6.21875" style="2955" customWidth="1"/>
    <col min="15107" max="15107" width="11.6640625" style="2955" customWidth="1"/>
    <col min="15108" max="15108" width="6.21875" style="2955" customWidth="1"/>
    <col min="15109" max="15109" width="4.6640625" style="2955" customWidth="1"/>
    <col min="15110" max="15110" width="19.44140625" style="2955" customWidth="1"/>
    <col min="15111" max="15111" width="7.88671875" style="2955" customWidth="1"/>
    <col min="15112" max="15112" width="13.44140625" style="2955" customWidth="1"/>
    <col min="15113" max="15113" width="12.33203125" style="2955" customWidth="1"/>
    <col min="15114" max="15115" width="13.88671875" style="2955" customWidth="1"/>
    <col min="15116" max="15116" width="11.6640625" style="2955" customWidth="1"/>
    <col min="15117" max="15119" width="7.88671875" style="2955" customWidth="1"/>
    <col min="15120" max="15126" width="0" style="2955" hidden="1" customWidth="1"/>
    <col min="15127" max="15127" width="7.88671875" style="2955" customWidth="1"/>
    <col min="15128" max="15131" width="9" style="2955" customWidth="1"/>
    <col min="15132" max="15132" width="14.88671875" style="2955" customWidth="1"/>
    <col min="15133" max="15133" width="7.88671875" style="2955" customWidth="1"/>
    <col min="15134" max="15134" width="27.77734375" style="2955" customWidth="1"/>
    <col min="15135" max="15137" width="10.6640625" style="2955" customWidth="1"/>
    <col min="15138" max="15139" width="16" style="2955" customWidth="1"/>
    <col min="15140" max="15141" width="14.21875" style="2955" customWidth="1"/>
    <col min="15142" max="15143" width="0" style="2955" hidden="1" customWidth="1"/>
    <col min="15144" max="15144" width="6.21875" style="2955" customWidth="1"/>
    <col min="15145" max="15145" width="5.44140625" style="2955" customWidth="1"/>
    <col min="15146" max="15148" width="0" style="2955" hidden="1" customWidth="1"/>
    <col min="15149" max="15149" width="7.88671875" style="2955" customWidth="1"/>
    <col min="15150" max="15360" width="9" style="2955"/>
    <col min="15361" max="15361" width="21" style="2955" customWidth="1"/>
    <col min="15362" max="15362" width="6.21875" style="2955" customWidth="1"/>
    <col min="15363" max="15363" width="11.6640625" style="2955" customWidth="1"/>
    <col min="15364" max="15364" width="6.21875" style="2955" customWidth="1"/>
    <col min="15365" max="15365" width="4.6640625" style="2955" customWidth="1"/>
    <col min="15366" max="15366" width="19.44140625" style="2955" customWidth="1"/>
    <col min="15367" max="15367" width="7.88671875" style="2955" customWidth="1"/>
    <col min="15368" max="15368" width="13.44140625" style="2955" customWidth="1"/>
    <col min="15369" max="15369" width="12.33203125" style="2955" customWidth="1"/>
    <col min="15370" max="15371" width="13.88671875" style="2955" customWidth="1"/>
    <col min="15372" max="15372" width="11.6640625" style="2955" customWidth="1"/>
    <col min="15373" max="15375" width="7.88671875" style="2955" customWidth="1"/>
    <col min="15376" max="15382" width="0" style="2955" hidden="1" customWidth="1"/>
    <col min="15383" max="15383" width="7.88671875" style="2955" customWidth="1"/>
    <col min="15384" max="15387" width="9" style="2955" customWidth="1"/>
    <col min="15388" max="15388" width="14.88671875" style="2955" customWidth="1"/>
    <col min="15389" max="15389" width="7.88671875" style="2955" customWidth="1"/>
    <col min="15390" max="15390" width="27.77734375" style="2955" customWidth="1"/>
    <col min="15391" max="15393" width="10.6640625" style="2955" customWidth="1"/>
    <col min="15394" max="15395" width="16" style="2955" customWidth="1"/>
    <col min="15396" max="15397" width="14.21875" style="2955" customWidth="1"/>
    <col min="15398" max="15399" width="0" style="2955" hidden="1" customWidth="1"/>
    <col min="15400" max="15400" width="6.21875" style="2955" customWidth="1"/>
    <col min="15401" max="15401" width="5.44140625" style="2955" customWidth="1"/>
    <col min="15402" max="15404" width="0" style="2955" hidden="1" customWidth="1"/>
    <col min="15405" max="15405" width="7.88671875" style="2955" customWidth="1"/>
    <col min="15406" max="15616" width="9" style="2955"/>
    <col min="15617" max="15617" width="21" style="2955" customWidth="1"/>
    <col min="15618" max="15618" width="6.21875" style="2955" customWidth="1"/>
    <col min="15619" max="15619" width="11.6640625" style="2955" customWidth="1"/>
    <col min="15620" max="15620" width="6.21875" style="2955" customWidth="1"/>
    <col min="15621" max="15621" width="4.6640625" style="2955" customWidth="1"/>
    <col min="15622" max="15622" width="19.44140625" style="2955" customWidth="1"/>
    <col min="15623" max="15623" width="7.88671875" style="2955" customWidth="1"/>
    <col min="15624" max="15624" width="13.44140625" style="2955" customWidth="1"/>
    <col min="15625" max="15625" width="12.33203125" style="2955" customWidth="1"/>
    <col min="15626" max="15627" width="13.88671875" style="2955" customWidth="1"/>
    <col min="15628" max="15628" width="11.6640625" style="2955" customWidth="1"/>
    <col min="15629" max="15631" width="7.88671875" style="2955" customWidth="1"/>
    <col min="15632" max="15638" width="0" style="2955" hidden="1" customWidth="1"/>
    <col min="15639" max="15639" width="7.88671875" style="2955" customWidth="1"/>
    <col min="15640" max="15643" width="9" style="2955" customWidth="1"/>
    <col min="15644" max="15644" width="14.88671875" style="2955" customWidth="1"/>
    <col min="15645" max="15645" width="7.88671875" style="2955" customWidth="1"/>
    <col min="15646" max="15646" width="27.77734375" style="2955" customWidth="1"/>
    <col min="15647" max="15649" width="10.6640625" style="2955" customWidth="1"/>
    <col min="15650" max="15651" width="16" style="2955" customWidth="1"/>
    <col min="15652" max="15653" width="14.21875" style="2955" customWidth="1"/>
    <col min="15654" max="15655" width="0" style="2955" hidden="1" customWidth="1"/>
    <col min="15656" max="15656" width="6.21875" style="2955" customWidth="1"/>
    <col min="15657" max="15657" width="5.44140625" style="2955" customWidth="1"/>
    <col min="15658" max="15660" width="0" style="2955" hidden="1" customWidth="1"/>
    <col min="15661" max="15661" width="7.88671875" style="2955" customWidth="1"/>
    <col min="15662" max="15872" width="9" style="2955"/>
    <col min="15873" max="15873" width="21" style="2955" customWidth="1"/>
    <col min="15874" max="15874" width="6.21875" style="2955" customWidth="1"/>
    <col min="15875" max="15875" width="11.6640625" style="2955" customWidth="1"/>
    <col min="15876" max="15876" width="6.21875" style="2955" customWidth="1"/>
    <col min="15877" max="15877" width="4.6640625" style="2955" customWidth="1"/>
    <col min="15878" max="15878" width="19.44140625" style="2955" customWidth="1"/>
    <col min="15879" max="15879" width="7.88671875" style="2955" customWidth="1"/>
    <col min="15880" max="15880" width="13.44140625" style="2955" customWidth="1"/>
    <col min="15881" max="15881" width="12.33203125" style="2955" customWidth="1"/>
    <col min="15882" max="15883" width="13.88671875" style="2955" customWidth="1"/>
    <col min="15884" max="15884" width="11.6640625" style="2955" customWidth="1"/>
    <col min="15885" max="15887" width="7.88671875" style="2955" customWidth="1"/>
    <col min="15888" max="15894" width="0" style="2955" hidden="1" customWidth="1"/>
    <col min="15895" max="15895" width="7.88671875" style="2955" customWidth="1"/>
    <col min="15896" max="15899" width="9" style="2955" customWidth="1"/>
    <col min="15900" max="15900" width="14.88671875" style="2955" customWidth="1"/>
    <col min="15901" max="15901" width="7.88671875" style="2955" customWidth="1"/>
    <col min="15902" max="15902" width="27.77734375" style="2955" customWidth="1"/>
    <col min="15903" max="15905" width="10.6640625" style="2955" customWidth="1"/>
    <col min="15906" max="15907" width="16" style="2955" customWidth="1"/>
    <col min="15908" max="15909" width="14.21875" style="2955" customWidth="1"/>
    <col min="15910" max="15911" width="0" style="2955" hidden="1" customWidth="1"/>
    <col min="15912" max="15912" width="6.21875" style="2955" customWidth="1"/>
    <col min="15913" max="15913" width="5.44140625" style="2955" customWidth="1"/>
    <col min="15914" max="15916" width="0" style="2955" hidden="1" customWidth="1"/>
    <col min="15917" max="15917" width="7.88671875" style="2955" customWidth="1"/>
    <col min="15918" max="16128" width="9" style="2955"/>
    <col min="16129" max="16129" width="21" style="2955" customWidth="1"/>
    <col min="16130" max="16130" width="6.21875" style="2955" customWidth="1"/>
    <col min="16131" max="16131" width="11.6640625" style="2955" customWidth="1"/>
    <col min="16132" max="16132" width="6.21875" style="2955" customWidth="1"/>
    <col min="16133" max="16133" width="4.6640625" style="2955" customWidth="1"/>
    <col min="16134" max="16134" width="19.44140625" style="2955" customWidth="1"/>
    <col min="16135" max="16135" width="7.88671875" style="2955" customWidth="1"/>
    <col min="16136" max="16136" width="13.44140625" style="2955" customWidth="1"/>
    <col min="16137" max="16137" width="12.33203125" style="2955" customWidth="1"/>
    <col min="16138" max="16139" width="13.88671875" style="2955" customWidth="1"/>
    <col min="16140" max="16140" width="11.6640625" style="2955" customWidth="1"/>
    <col min="16141" max="16143" width="7.88671875" style="2955" customWidth="1"/>
    <col min="16144" max="16150" width="0" style="2955" hidden="1" customWidth="1"/>
    <col min="16151" max="16151" width="7.88671875" style="2955" customWidth="1"/>
    <col min="16152" max="16155" width="9" style="2955" customWidth="1"/>
    <col min="16156" max="16156" width="14.88671875" style="2955" customWidth="1"/>
    <col min="16157" max="16157" width="7.88671875" style="2955" customWidth="1"/>
    <col min="16158" max="16158" width="27.77734375" style="2955" customWidth="1"/>
    <col min="16159" max="16161" width="10.6640625" style="2955" customWidth="1"/>
    <col min="16162" max="16163" width="16" style="2955" customWidth="1"/>
    <col min="16164" max="16165" width="14.21875" style="2955" customWidth="1"/>
    <col min="16166" max="16167" width="0" style="2955" hidden="1" customWidth="1"/>
    <col min="16168" max="16168" width="6.21875" style="2955" customWidth="1"/>
    <col min="16169" max="16169" width="5.44140625" style="2955" customWidth="1"/>
    <col min="16170" max="16172" width="0" style="2955" hidden="1" customWidth="1"/>
    <col min="16173" max="16173" width="7.88671875" style="2955" customWidth="1"/>
    <col min="16174" max="16384" width="9" style="2955"/>
  </cols>
  <sheetData>
    <row r="1" spans="1:45">
      <c r="A1" s="2955" t="s">
        <v>3066</v>
      </c>
      <c r="B1" s="2955" t="s">
        <v>3067</v>
      </c>
      <c r="C1" s="2955" t="s">
        <v>3068</v>
      </c>
      <c r="D1" s="2955" t="s">
        <v>3069</v>
      </c>
      <c r="E1" s="2955" t="s">
        <v>3070</v>
      </c>
      <c r="F1" s="2955" t="s">
        <v>3071</v>
      </c>
      <c r="G1" s="2955" t="s">
        <v>3072</v>
      </c>
      <c r="H1" s="2955" t="s">
        <v>3073</v>
      </c>
      <c r="I1" s="2955" t="s">
        <v>3074</v>
      </c>
      <c r="J1" s="2955" t="s">
        <v>3075</v>
      </c>
      <c r="K1" s="2955" t="s">
        <v>3076</v>
      </c>
      <c r="L1" s="2955" t="s">
        <v>3077</v>
      </c>
      <c r="M1" s="2955" t="s">
        <v>3078</v>
      </c>
      <c r="N1" s="2955" t="s">
        <v>3079</v>
      </c>
      <c r="O1" s="2955" t="s">
        <v>3080</v>
      </c>
      <c r="P1" s="2955" t="s">
        <v>3081</v>
      </c>
      <c r="Q1" s="2955" t="s">
        <v>3082</v>
      </c>
      <c r="R1" s="2955" t="s">
        <v>3083</v>
      </c>
      <c r="S1" s="2955" t="s">
        <v>3084</v>
      </c>
      <c r="T1" s="2955" t="s">
        <v>3085</v>
      </c>
      <c r="U1" s="2955" t="s">
        <v>3086</v>
      </c>
      <c r="V1" s="2955" t="s">
        <v>3087</v>
      </c>
      <c r="W1" s="2955" t="s">
        <v>3088</v>
      </c>
      <c r="X1" s="2955" t="s">
        <v>3089</v>
      </c>
      <c r="Y1" s="2955" t="s">
        <v>3090</v>
      </c>
      <c r="Z1" s="2955" t="s">
        <v>3091</v>
      </c>
      <c r="AA1" s="2955" t="s">
        <v>3092</v>
      </c>
      <c r="AB1" s="2955" t="s">
        <v>3093</v>
      </c>
      <c r="AC1" s="2955" t="s">
        <v>3094</v>
      </c>
      <c r="AD1" s="2955" t="s">
        <v>3095</v>
      </c>
      <c r="AE1" s="2955" t="s">
        <v>3096</v>
      </c>
      <c r="AF1" s="2955" t="s">
        <v>3097</v>
      </c>
      <c r="AG1" s="2955" t="s">
        <v>3098</v>
      </c>
      <c r="AH1" s="2955" t="s">
        <v>3099</v>
      </c>
      <c r="AI1" s="2955" t="s">
        <v>3100</v>
      </c>
      <c r="AJ1" s="2955" t="s">
        <v>3101</v>
      </c>
      <c r="AK1" s="2955" t="s">
        <v>3102</v>
      </c>
      <c r="AL1" s="2955" t="s">
        <v>3103</v>
      </c>
      <c r="AM1" s="2955" t="s">
        <v>3104</v>
      </c>
      <c r="AN1" s="2955" t="s">
        <v>3105</v>
      </c>
      <c r="AO1" s="2955" t="s">
        <v>3106</v>
      </c>
      <c r="AP1" s="2955" t="s">
        <v>3107</v>
      </c>
      <c r="AQ1" s="2955" t="s">
        <v>3108</v>
      </c>
      <c r="AR1" s="2955" t="s">
        <v>3109</v>
      </c>
      <c r="AS1" s="2955" t="s">
        <v>3110</v>
      </c>
    </row>
    <row r="2" spans="1:45">
      <c r="A2" s="2955" t="s">
        <v>3111</v>
      </c>
      <c r="B2" s="2955" t="s">
        <v>3112</v>
      </c>
      <c r="C2" s="2955" t="s">
        <v>3113</v>
      </c>
      <c r="D2" s="2955" t="s">
        <v>3114</v>
      </c>
      <c r="E2" s="2955" t="s">
        <v>1327</v>
      </c>
      <c r="F2" s="2955" t="s">
        <v>3111</v>
      </c>
      <c r="G2" s="2955" t="s">
        <v>3115</v>
      </c>
      <c r="H2" s="2955" t="s">
        <v>3116</v>
      </c>
      <c r="I2" s="2955" t="s">
        <v>3117</v>
      </c>
      <c r="J2" s="2955">
        <v>4292.3599999999997</v>
      </c>
      <c r="K2" s="2955">
        <v>5150.83</v>
      </c>
      <c r="L2" s="2955" t="s">
        <v>3118</v>
      </c>
      <c r="M2" s="2955" t="s">
        <v>1327</v>
      </c>
      <c r="N2" s="2955" t="s">
        <v>3119</v>
      </c>
      <c r="O2" s="2955" t="s">
        <v>3120</v>
      </c>
      <c r="P2" s="2955" t="s">
        <v>1327</v>
      </c>
      <c r="Q2" s="2955" t="s">
        <v>1327</v>
      </c>
      <c r="R2" s="2955" t="s">
        <v>1327</v>
      </c>
      <c r="S2" s="2955" t="s">
        <v>1327</v>
      </c>
      <c r="T2" s="2955" t="s">
        <v>1327</v>
      </c>
      <c r="U2" s="2955" t="s">
        <v>1327</v>
      </c>
      <c r="V2" s="2955" t="s">
        <v>1327</v>
      </c>
      <c r="W2" s="2955" t="s">
        <v>3121</v>
      </c>
      <c r="X2" s="2955" t="s">
        <v>3122</v>
      </c>
      <c r="Y2" s="2955" t="s">
        <v>3123</v>
      </c>
      <c r="Z2" s="2955" t="s">
        <v>3124</v>
      </c>
      <c r="AA2" s="2955" t="s">
        <v>3124</v>
      </c>
      <c r="AB2" s="2955" t="s">
        <v>3125</v>
      </c>
      <c r="AC2" s="2955" t="s">
        <v>3126</v>
      </c>
      <c r="AD2" s="2955" t="s">
        <v>3127</v>
      </c>
      <c r="AE2" s="2955">
        <v>180.92</v>
      </c>
      <c r="AF2" s="2955">
        <v>301.54000000000002</v>
      </c>
      <c r="AG2" s="2955">
        <v>301.97000000000003</v>
      </c>
      <c r="AH2" s="2955">
        <v>46.83</v>
      </c>
      <c r="AI2" s="2955">
        <v>46.9</v>
      </c>
      <c r="AJ2" s="2955">
        <v>585.41999999999996</v>
      </c>
      <c r="AK2" s="2955">
        <v>586.25</v>
      </c>
      <c r="AL2" s="2955" t="s">
        <v>1327</v>
      </c>
      <c r="AM2" s="2955" t="s">
        <v>1327</v>
      </c>
      <c r="AN2" s="2955">
        <v>0.14000000000000001</v>
      </c>
      <c r="AO2" s="2955" t="s">
        <v>3128</v>
      </c>
      <c r="AP2" s="2955" t="s">
        <v>1327</v>
      </c>
      <c r="AQ2" s="2955" t="s">
        <v>1327</v>
      </c>
      <c r="AR2" s="2955" t="s">
        <v>1327</v>
      </c>
      <c r="AS2" s="2955" t="s">
        <v>3129</v>
      </c>
    </row>
    <row r="3" spans="1:45">
      <c r="A3" s="2955" t="s">
        <v>3111</v>
      </c>
      <c r="B3" s="2955" t="s">
        <v>3112</v>
      </c>
      <c r="C3" s="2955" t="s">
        <v>3113</v>
      </c>
      <c r="D3" s="2955" t="s">
        <v>3114</v>
      </c>
      <c r="E3" s="2955" t="s">
        <v>1327</v>
      </c>
      <c r="F3" s="2955" t="s">
        <v>3111</v>
      </c>
      <c r="G3" s="2955" t="s">
        <v>3115</v>
      </c>
      <c r="H3" s="2955" t="s">
        <v>3130</v>
      </c>
      <c r="I3" s="2955" t="s">
        <v>3117</v>
      </c>
      <c r="J3" s="2955">
        <v>17785.62</v>
      </c>
      <c r="K3" s="2955">
        <v>17785.62</v>
      </c>
      <c r="L3" s="2955" t="s">
        <v>3131</v>
      </c>
      <c r="M3" s="2955" t="s">
        <v>1327</v>
      </c>
      <c r="N3" s="2955" t="s">
        <v>3119</v>
      </c>
      <c r="O3" s="2955" t="s">
        <v>3120</v>
      </c>
      <c r="P3" s="2955" t="s">
        <v>1327</v>
      </c>
      <c r="Q3" s="2955" t="s">
        <v>1327</v>
      </c>
      <c r="R3" s="2955" t="s">
        <v>1327</v>
      </c>
      <c r="S3" s="2955" t="s">
        <v>1327</v>
      </c>
      <c r="T3" s="2955" t="s">
        <v>1327</v>
      </c>
      <c r="U3" s="2955" t="s">
        <v>1327</v>
      </c>
      <c r="V3" s="2955" t="s">
        <v>1327</v>
      </c>
      <c r="W3" s="2955" t="s">
        <v>3121</v>
      </c>
      <c r="X3" s="2955" t="s">
        <v>3122</v>
      </c>
      <c r="Y3" s="2955" t="s">
        <v>3123</v>
      </c>
      <c r="Z3" s="2955" t="s">
        <v>3124</v>
      </c>
      <c r="AA3" s="2955" t="s">
        <v>3124</v>
      </c>
      <c r="AB3" s="2955" t="s">
        <v>3132</v>
      </c>
      <c r="AC3" s="2955" t="s">
        <v>3126</v>
      </c>
      <c r="AD3" s="2955" t="s">
        <v>3127</v>
      </c>
      <c r="AE3" s="2955">
        <v>749.66</v>
      </c>
      <c r="AF3" s="2955">
        <v>1249.44</v>
      </c>
      <c r="AG3" s="2955">
        <v>1251.22</v>
      </c>
      <c r="AH3" s="2955">
        <v>46.83</v>
      </c>
      <c r="AI3" s="2955">
        <v>46.9</v>
      </c>
      <c r="AJ3" s="2955">
        <v>702.5</v>
      </c>
      <c r="AK3" s="2955">
        <v>703.5</v>
      </c>
      <c r="AL3" s="2955" t="s">
        <v>1327</v>
      </c>
      <c r="AM3" s="2955" t="s">
        <v>1327</v>
      </c>
      <c r="AN3" s="2955">
        <v>0.14000000000000001</v>
      </c>
      <c r="AO3" s="2955" t="s">
        <v>3128</v>
      </c>
      <c r="AP3" s="2955" t="s">
        <v>1327</v>
      </c>
      <c r="AQ3" s="2955" t="s">
        <v>1327</v>
      </c>
      <c r="AR3" s="2955" t="s">
        <v>1327</v>
      </c>
      <c r="AS3" s="2955" t="s">
        <v>3129</v>
      </c>
    </row>
    <row r="4" spans="1:45">
      <c r="A4" s="2955" t="s">
        <v>3111</v>
      </c>
      <c r="B4" s="2955" t="s">
        <v>3112</v>
      </c>
      <c r="C4" s="2955" t="s">
        <v>3113</v>
      </c>
      <c r="D4" s="2955" t="s">
        <v>3114</v>
      </c>
      <c r="E4" s="2955" t="s">
        <v>1327</v>
      </c>
      <c r="F4" s="2955" t="s">
        <v>3111</v>
      </c>
      <c r="G4" s="2955" t="s">
        <v>3115</v>
      </c>
      <c r="H4" s="2955" t="s">
        <v>3133</v>
      </c>
      <c r="I4" s="2955" t="s">
        <v>3117</v>
      </c>
      <c r="J4" s="2955">
        <v>3742.51</v>
      </c>
      <c r="K4" s="2955">
        <v>4491.01</v>
      </c>
      <c r="L4" s="2955" t="s">
        <v>3118</v>
      </c>
      <c r="M4" s="2955" t="s">
        <v>1327</v>
      </c>
      <c r="N4" s="2955" t="s">
        <v>3119</v>
      </c>
      <c r="O4" s="2955" t="s">
        <v>3120</v>
      </c>
      <c r="P4" s="2955" t="s">
        <v>1327</v>
      </c>
      <c r="Q4" s="2955" t="s">
        <v>1327</v>
      </c>
      <c r="R4" s="2955" t="s">
        <v>1327</v>
      </c>
      <c r="S4" s="2955" t="s">
        <v>1327</v>
      </c>
      <c r="T4" s="2955" t="s">
        <v>1327</v>
      </c>
      <c r="U4" s="2955" t="s">
        <v>1327</v>
      </c>
      <c r="V4" s="2955" t="s">
        <v>1327</v>
      </c>
      <c r="W4" s="2955" t="s">
        <v>3121</v>
      </c>
      <c r="X4" s="2955" t="s">
        <v>3134</v>
      </c>
      <c r="Y4" s="2955" t="s">
        <v>3123</v>
      </c>
      <c r="Z4" s="2955" t="s">
        <v>3124</v>
      </c>
      <c r="AA4" s="2955" t="s">
        <v>3124</v>
      </c>
      <c r="AB4" s="2955" t="s">
        <v>3135</v>
      </c>
      <c r="AC4" s="2955" t="s">
        <v>3126</v>
      </c>
      <c r="AD4" s="2955" t="s">
        <v>3127</v>
      </c>
      <c r="AE4" s="2955">
        <v>157.75</v>
      </c>
      <c r="AF4" s="2955">
        <v>262.91000000000003</v>
      </c>
      <c r="AG4" s="2955">
        <v>263.29000000000002</v>
      </c>
      <c r="AH4" s="2955">
        <v>46.83</v>
      </c>
      <c r="AI4" s="2955">
        <v>46.9</v>
      </c>
      <c r="AJ4" s="2955">
        <v>585.41</v>
      </c>
      <c r="AK4" s="2955">
        <v>586.25</v>
      </c>
      <c r="AL4" s="2955" t="s">
        <v>1327</v>
      </c>
      <c r="AM4" s="2955" t="s">
        <v>1327</v>
      </c>
      <c r="AN4" s="2955">
        <v>0.14000000000000001</v>
      </c>
      <c r="AO4" s="2955" t="s">
        <v>3128</v>
      </c>
      <c r="AP4" s="2955" t="s">
        <v>1327</v>
      </c>
      <c r="AQ4" s="2955" t="s">
        <v>1327</v>
      </c>
      <c r="AR4" s="2955" t="s">
        <v>1327</v>
      </c>
      <c r="AS4" s="2955" t="s">
        <v>3129</v>
      </c>
    </row>
    <row r="5" spans="1:45">
      <c r="A5" s="2955" t="s">
        <v>3111</v>
      </c>
      <c r="B5" s="2955" t="s">
        <v>3112</v>
      </c>
      <c r="C5" s="2955" t="s">
        <v>3113</v>
      </c>
      <c r="D5" s="2955" t="s">
        <v>3114</v>
      </c>
      <c r="E5" s="2955" t="s">
        <v>1327</v>
      </c>
      <c r="F5" s="2955" t="s">
        <v>3111</v>
      </c>
      <c r="G5" s="2955" t="s">
        <v>3115</v>
      </c>
      <c r="H5" s="2955" t="s">
        <v>3136</v>
      </c>
      <c r="I5" s="2955" t="s">
        <v>3117</v>
      </c>
      <c r="J5" s="2955">
        <v>1105.95</v>
      </c>
      <c r="K5" s="2955">
        <v>1327.14</v>
      </c>
      <c r="L5" s="2955" t="s">
        <v>3118</v>
      </c>
      <c r="M5" s="2955" t="s">
        <v>1327</v>
      </c>
      <c r="N5" s="2955" t="s">
        <v>3119</v>
      </c>
      <c r="O5" s="2955" t="s">
        <v>3120</v>
      </c>
      <c r="P5" s="2955" t="s">
        <v>1327</v>
      </c>
      <c r="Q5" s="2955" t="s">
        <v>1327</v>
      </c>
      <c r="R5" s="2955" t="s">
        <v>1327</v>
      </c>
      <c r="S5" s="2955" t="s">
        <v>1327</v>
      </c>
      <c r="T5" s="2955" t="s">
        <v>1327</v>
      </c>
      <c r="U5" s="2955" t="s">
        <v>1327</v>
      </c>
      <c r="V5" s="2955" t="s">
        <v>1327</v>
      </c>
      <c r="W5" s="2955" t="s">
        <v>3121</v>
      </c>
      <c r="X5" s="2955" t="s">
        <v>3122</v>
      </c>
      <c r="Y5" s="2955" t="s">
        <v>3123</v>
      </c>
      <c r="Z5" s="2955" t="s">
        <v>3124</v>
      </c>
      <c r="AA5" s="2955" t="s">
        <v>3124</v>
      </c>
      <c r="AB5" s="2955" t="s">
        <v>3137</v>
      </c>
      <c r="AC5" s="2955" t="s">
        <v>3126</v>
      </c>
      <c r="AD5" s="2955" t="s">
        <v>3127</v>
      </c>
      <c r="AE5" s="2955">
        <v>46.62</v>
      </c>
      <c r="AF5" s="2955">
        <v>77.680000000000007</v>
      </c>
      <c r="AG5" s="2955">
        <v>77.790000000000006</v>
      </c>
      <c r="AH5" s="2955">
        <v>46.83</v>
      </c>
      <c r="AI5" s="2955">
        <v>46.89</v>
      </c>
      <c r="AJ5" s="2955">
        <v>585.39</v>
      </c>
      <c r="AK5" s="2955">
        <v>586.22</v>
      </c>
      <c r="AL5" s="2955" t="s">
        <v>1327</v>
      </c>
      <c r="AM5" s="2955" t="s">
        <v>1327</v>
      </c>
      <c r="AN5" s="2955">
        <v>0.14000000000000001</v>
      </c>
      <c r="AO5" s="2955" t="s">
        <v>3128</v>
      </c>
      <c r="AP5" s="2955" t="s">
        <v>1327</v>
      </c>
      <c r="AQ5" s="2955" t="s">
        <v>1327</v>
      </c>
      <c r="AR5" s="2955" t="s">
        <v>1327</v>
      </c>
      <c r="AS5" s="2955" t="s">
        <v>3138</v>
      </c>
    </row>
    <row r="6" spans="1:45">
      <c r="A6" s="2955" t="s">
        <v>3111</v>
      </c>
      <c r="B6" s="2955" t="s">
        <v>3112</v>
      </c>
      <c r="C6" s="2955" t="s">
        <v>3113</v>
      </c>
      <c r="D6" s="2955" t="s">
        <v>3114</v>
      </c>
      <c r="E6" s="2955" t="s">
        <v>1327</v>
      </c>
      <c r="F6" s="2955" t="s">
        <v>3111</v>
      </c>
      <c r="G6" s="2955" t="s">
        <v>3115</v>
      </c>
      <c r="H6" s="2955" t="s">
        <v>3139</v>
      </c>
      <c r="I6" s="2955" t="s">
        <v>3117</v>
      </c>
      <c r="J6" s="2955">
        <v>377.78</v>
      </c>
      <c r="K6" s="2955">
        <v>453.34</v>
      </c>
      <c r="L6" s="2955" t="s">
        <v>3118</v>
      </c>
      <c r="M6" s="2955" t="s">
        <v>1327</v>
      </c>
      <c r="N6" s="2955" t="s">
        <v>3119</v>
      </c>
      <c r="O6" s="2955" t="s">
        <v>3120</v>
      </c>
      <c r="P6" s="2955" t="s">
        <v>1327</v>
      </c>
      <c r="Q6" s="2955" t="s">
        <v>1327</v>
      </c>
      <c r="R6" s="2955" t="s">
        <v>1327</v>
      </c>
      <c r="S6" s="2955" t="s">
        <v>1327</v>
      </c>
      <c r="T6" s="2955" t="s">
        <v>1327</v>
      </c>
      <c r="U6" s="2955" t="s">
        <v>1327</v>
      </c>
      <c r="V6" s="2955" t="s">
        <v>1327</v>
      </c>
      <c r="W6" s="2955" t="s">
        <v>3121</v>
      </c>
      <c r="X6" s="2955" t="s">
        <v>3134</v>
      </c>
      <c r="Y6" s="2955" t="s">
        <v>3123</v>
      </c>
      <c r="Z6" s="2955" t="s">
        <v>3124</v>
      </c>
      <c r="AA6" s="2955" t="s">
        <v>3124</v>
      </c>
      <c r="AB6" s="2955" t="s">
        <v>3140</v>
      </c>
      <c r="AC6" s="2955" t="s">
        <v>3126</v>
      </c>
      <c r="AD6" s="2955" t="s">
        <v>3127</v>
      </c>
      <c r="AE6" s="2955">
        <v>15.92</v>
      </c>
      <c r="AF6" s="2955">
        <v>26.53</v>
      </c>
      <c r="AG6" s="2955">
        <v>26.57</v>
      </c>
      <c r="AH6" s="2955">
        <v>46.82</v>
      </c>
      <c r="AI6" s="2955">
        <v>46.89</v>
      </c>
      <c r="AJ6" s="2955">
        <v>585.42999999999995</v>
      </c>
      <c r="AK6" s="2955">
        <v>586.29999999999995</v>
      </c>
      <c r="AL6" s="2955" t="s">
        <v>1327</v>
      </c>
      <c r="AM6" s="2955" t="s">
        <v>1327</v>
      </c>
      <c r="AN6" s="2955">
        <v>0.15</v>
      </c>
      <c r="AO6" s="2955" t="s">
        <v>3128</v>
      </c>
      <c r="AP6" s="2955" t="s">
        <v>1327</v>
      </c>
      <c r="AQ6" s="2955" t="s">
        <v>1327</v>
      </c>
      <c r="AR6" s="2955" t="s">
        <v>1327</v>
      </c>
      <c r="AS6" s="2955" t="s">
        <v>3129</v>
      </c>
    </row>
    <row r="7" spans="1:45">
      <c r="A7" s="2955" t="s">
        <v>3111</v>
      </c>
      <c r="B7" s="2955" t="s">
        <v>3112</v>
      </c>
      <c r="C7" s="2955" t="s">
        <v>3113</v>
      </c>
      <c r="D7" s="2955" t="s">
        <v>3114</v>
      </c>
      <c r="E7" s="2955" t="s">
        <v>1327</v>
      </c>
      <c r="F7" s="2955" t="s">
        <v>3111</v>
      </c>
      <c r="G7" s="2955" t="s">
        <v>3115</v>
      </c>
      <c r="H7" s="2955" t="s">
        <v>3141</v>
      </c>
      <c r="I7" s="2955" t="s">
        <v>3117</v>
      </c>
      <c r="J7" s="2955">
        <v>12053.03</v>
      </c>
      <c r="K7" s="2955">
        <v>14463.64</v>
      </c>
      <c r="L7" s="2955" t="s">
        <v>3118</v>
      </c>
      <c r="M7" s="2955" t="s">
        <v>1327</v>
      </c>
      <c r="N7" s="2955" t="s">
        <v>3119</v>
      </c>
      <c r="O7" s="2955" t="s">
        <v>3120</v>
      </c>
      <c r="P7" s="2955" t="s">
        <v>1327</v>
      </c>
      <c r="Q7" s="2955" t="s">
        <v>1327</v>
      </c>
      <c r="R7" s="2955" t="s">
        <v>1327</v>
      </c>
      <c r="S7" s="2955" t="s">
        <v>1327</v>
      </c>
      <c r="T7" s="2955" t="s">
        <v>1327</v>
      </c>
      <c r="U7" s="2955" t="s">
        <v>1327</v>
      </c>
      <c r="V7" s="2955" t="s">
        <v>1327</v>
      </c>
      <c r="W7" s="2955" t="s">
        <v>3121</v>
      </c>
      <c r="X7" s="2955" t="s">
        <v>3134</v>
      </c>
      <c r="Y7" s="2955" t="s">
        <v>3123</v>
      </c>
      <c r="Z7" s="2955" t="s">
        <v>3124</v>
      </c>
      <c r="AA7" s="2955" t="s">
        <v>3124</v>
      </c>
      <c r="AB7" s="2955" t="s">
        <v>3142</v>
      </c>
      <c r="AC7" s="2955" t="s">
        <v>3126</v>
      </c>
      <c r="AD7" s="2955" t="s">
        <v>3127</v>
      </c>
      <c r="AE7" s="2955">
        <v>508.03</v>
      </c>
      <c r="AF7" s="2955">
        <v>846.73</v>
      </c>
      <c r="AG7" s="2955">
        <v>847.92</v>
      </c>
      <c r="AH7" s="2955">
        <v>46.83</v>
      </c>
      <c r="AI7" s="2955">
        <v>46.9</v>
      </c>
      <c r="AJ7" s="2955">
        <v>585.41</v>
      </c>
      <c r="AK7" s="2955">
        <v>586.25</v>
      </c>
      <c r="AL7" s="2955" t="s">
        <v>1327</v>
      </c>
      <c r="AM7" s="2955" t="s">
        <v>1327</v>
      </c>
      <c r="AN7" s="2955">
        <v>0.14000000000000001</v>
      </c>
      <c r="AO7" s="2955" t="s">
        <v>3128</v>
      </c>
      <c r="AP7" s="2955" t="s">
        <v>1327</v>
      </c>
      <c r="AQ7" s="2955" t="s">
        <v>1327</v>
      </c>
      <c r="AR7" s="2955" t="s">
        <v>1327</v>
      </c>
      <c r="AS7" s="2955" t="s">
        <v>3138</v>
      </c>
    </row>
    <row r="8" spans="1:45">
      <c r="A8" s="2955" t="s">
        <v>3111</v>
      </c>
      <c r="B8" s="2955" t="s">
        <v>3112</v>
      </c>
      <c r="C8" s="2955" t="s">
        <v>3113</v>
      </c>
      <c r="D8" s="2955" t="s">
        <v>3114</v>
      </c>
      <c r="E8" s="2955" t="s">
        <v>1327</v>
      </c>
      <c r="F8" s="2955" t="s">
        <v>3111</v>
      </c>
      <c r="G8" s="2955" t="s">
        <v>3115</v>
      </c>
      <c r="H8" s="2955" t="s">
        <v>3143</v>
      </c>
      <c r="I8" s="2955" t="s">
        <v>3117</v>
      </c>
      <c r="J8" s="2955">
        <v>7071.3</v>
      </c>
      <c r="K8" s="2955">
        <v>7071.3</v>
      </c>
      <c r="L8" s="2955" t="s">
        <v>3131</v>
      </c>
      <c r="M8" s="2955" t="s">
        <v>1327</v>
      </c>
      <c r="N8" s="2955" t="s">
        <v>3119</v>
      </c>
      <c r="O8" s="2955" t="s">
        <v>3120</v>
      </c>
      <c r="P8" s="2955" t="s">
        <v>1327</v>
      </c>
      <c r="Q8" s="2955" t="s">
        <v>1327</v>
      </c>
      <c r="R8" s="2955" t="s">
        <v>1327</v>
      </c>
      <c r="S8" s="2955" t="s">
        <v>1327</v>
      </c>
      <c r="T8" s="2955" t="s">
        <v>1327</v>
      </c>
      <c r="U8" s="2955" t="s">
        <v>1327</v>
      </c>
      <c r="V8" s="2955" t="s">
        <v>1327</v>
      </c>
      <c r="W8" s="2955" t="s">
        <v>3121</v>
      </c>
      <c r="X8" s="2955" t="s">
        <v>3122</v>
      </c>
      <c r="Y8" s="2955" t="s">
        <v>3123</v>
      </c>
      <c r="Z8" s="2955" t="s">
        <v>3124</v>
      </c>
      <c r="AA8" s="2955" t="s">
        <v>3124</v>
      </c>
      <c r="AB8" s="2955" t="s">
        <v>3144</v>
      </c>
      <c r="AC8" s="2955" t="s">
        <v>3126</v>
      </c>
      <c r="AD8" s="2955" t="s">
        <v>3127</v>
      </c>
      <c r="AE8" s="2955">
        <v>298.06</v>
      </c>
      <c r="AF8" s="2955">
        <v>496.75</v>
      </c>
      <c r="AG8" s="2955">
        <v>497.47</v>
      </c>
      <c r="AH8" s="2955">
        <v>46.83</v>
      </c>
      <c r="AI8" s="2955">
        <v>46.9</v>
      </c>
      <c r="AJ8" s="2955">
        <v>702.5</v>
      </c>
      <c r="AK8" s="2955">
        <v>703.5</v>
      </c>
      <c r="AL8" s="2955" t="s">
        <v>1327</v>
      </c>
      <c r="AM8" s="2955" t="s">
        <v>1327</v>
      </c>
      <c r="AN8" s="2955">
        <v>0.14000000000000001</v>
      </c>
      <c r="AO8" s="2955" t="s">
        <v>3128</v>
      </c>
      <c r="AP8" s="2955" t="s">
        <v>1327</v>
      </c>
      <c r="AQ8" s="2955" t="s">
        <v>1327</v>
      </c>
      <c r="AR8" s="2955" t="s">
        <v>1327</v>
      </c>
      <c r="AS8" s="2955" t="s">
        <v>3129</v>
      </c>
    </row>
    <row r="9" spans="1:45">
      <c r="A9" s="2955" t="s">
        <v>3111</v>
      </c>
      <c r="B9" s="2955" t="s">
        <v>3112</v>
      </c>
      <c r="C9" s="2955" t="s">
        <v>3113</v>
      </c>
      <c r="D9" s="2955" t="s">
        <v>3114</v>
      </c>
      <c r="E9" s="2955" t="s">
        <v>1327</v>
      </c>
      <c r="F9" s="2955" t="s">
        <v>3111</v>
      </c>
      <c r="G9" s="2955" t="s">
        <v>3115</v>
      </c>
      <c r="H9" s="2955" t="s">
        <v>3145</v>
      </c>
      <c r="I9" s="2955" t="s">
        <v>3117</v>
      </c>
      <c r="J9" s="2955">
        <v>1094.03</v>
      </c>
      <c r="K9" s="2955">
        <v>1312.84</v>
      </c>
      <c r="L9" s="2955" t="s">
        <v>3118</v>
      </c>
      <c r="M9" s="2955" t="s">
        <v>1327</v>
      </c>
      <c r="N9" s="2955" t="s">
        <v>3119</v>
      </c>
      <c r="O9" s="2955" t="s">
        <v>3120</v>
      </c>
      <c r="P9" s="2955" t="s">
        <v>1327</v>
      </c>
      <c r="Q9" s="2955" t="s">
        <v>1327</v>
      </c>
      <c r="R9" s="2955" t="s">
        <v>1327</v>
      </c>
      <c r="S9" s="2955" t="s">
        <v>1327</v>
      </c>
      <c r="T9" s="2955" t="s">
        <v>1327</v>
      </c>
      <c r="U9" s="2955" t="s">
        <v>1327</v>
      </c>
      <c r="V9" s="2955" t="s">
        <v>1327</v>
      </c>
      <c r="W9" s="2955" t="s">
        <v>3121</v>
      </c>
      <c r="X9" s="2955" t="s">
        <v>3134</v>
      </c>
      <c r="Y9" s="2955" t="s">
        <v>3123</v>
      </c>
      <c r="Z9" s="2955" t="s">
        <v>3124</v>
      </c>
      <c r="AA9" s="2955" t="s">
        <v>3124</v>
      </c>
      <c r="AB9" s="2955" t="s">
        <v>3146</v>
      </c>
      <c r="AC9" s="2955" t="s">
        <v>3126</v>
      </c>
      <c r="AD9" s="2955" t="s">
        <v>3127</v>
      </c>
      <c r="AE9" s="2955">
        <v>46.11</v>
      </c>
      <c r="AF9" s="2955">
        <v>76.849999999999994</v>
      </c>
      <c r="AG9" s="2955">
        <v>76.959999999999994</v>
      </c>
      <c r="AH9" s="2955">
        <v>46.83</v>
      </c>
      <c r="AI9" s="2955">
        <v>46.9</v>
      </c>
      <c r="AJ9" s="2955">
        <v>585.44000000000005</v>
      </c>
      <c r="AK9" s="2955">
        <v>586.28</v>
      </c>
      <c r="AL9" s="2955" t="s">
        <v>1327</v>
      </c>
      <c r="AM9" s="2955" t="s">
        <v>1327</v>
      </c>
      <c r="AN9" s="2955">
        <v>0.14000000000000001</v>
      </c>
      <c r="AO9" s="2955" t="s">
        <v>3128</v>
      </c>
      <c r="AP9" s="2955" t="s">
        <v>1327</v>
      </c>
      <c r="AQ9" s="2955" t="s">
        <v>1327</v>
      </c>
      <c r="AR9" s="2955" t="s">
        <v>1327</v>
      </c>
      <c r="AS9" s="2955" t="s">
        <v>3147</v>
      </c>
    </row>
    <row r="10" spans="1:45">
      <c r="A10" s="2955" t="s">
        <v>3111</v>
      </c>
      <c r="B10" s="2955" t="s">
        <v>3112</v>
      </c>
      <c r="C10" s="2955" t="s">
        <v>3113</v>
      </c>
      <c r="D10" s="2955" t="s">
        <v>3114</v>
      </c>
      <c r="E10" s="2955" t="s">
        <v>1327</v>
      </c>
      <c r="F10" s="2955" t="s">
        <v>3111</v>
      </c>
      <c r="G10" s="2955" t="s">
        <v>3115</v>
      </c>
      <c r="H10" s="2955" t="s">
        <v>3148</v>
      </c>
      <c r="I10" s="2955" t="s">
        <v>3117</v>
      </c>
      <c r="J10" s="2955">
        <v>1231.3399999999999</v>
      </c>
      <c r="K10" s="2955">
        <v>1477.61</v>
      </c>
      <c r="L10" s="2955" t="s">
        <v>3118</v>
      </c>
      <c r="M10" s="2955" t="s">
        <v>1327</v>
      </c>
      <c r="N10" s="2955" t="s">
        <v>3119</v>
      </c>
      <c r="O10" s="2955" t="s">
        <v>3120</v>
      </c>
      <c r="P10" s="2955" t="s">
        <v>1327</v>
      </c>
      <c r="Q10" s="2955" t="s">
        <v>1327</v>
      </c>
      <c r="R10" s="2955" t="s">
        <v>1327</v>
      </c>
      <c r="S10" s="2955" t="s">
        <v>1327</v>
      </c>
      <c r="T10" s="2955" t="s">
        <v>1327</v>
      </c>
      <c r="U10" s="2955" t="s">
        <v>1327</v>
      </c>
      <c r="V10" s="2955" t="s">
        <v>1327</v>
      </c>
      <c r="W10" s="2955" t="s">
        <v>3121</v>
      </c>
      <c r="X10" s="2955" t="s">
        <v>3134</v>
      </c>
      <c r="Y10" s="2955" t="s">
        <v>3123</v>
      </c>
      <c r="Z10" s="2955" t="s">
        <v>3124</v>
      </c>
      <c r="AA10" s="2955" t="s">
        <v>3124</v>
      </c>
      <c r="AB10" s="2955" t="s">
        <v>3149</v>
      </c>
      <c r="AC10" s="2955" t="s">
        <v>3126</v>
      </c>
      <c r="AD10" s="2955" t="s">
        <v>3127</v>
      </c>
      <c r="AE10" s="2955">
        <v>51.9</v>
      </c>
      <c r="AF10" s="2955">
        <v>86.5</v>
      </c>
      <c r="AG10" s="2955">
        <v>86.62</v>
      </c>
      <c r="AH10" s="2955">
        <v>46.83</v>
      </c>
      <c r="AI10" s="2955">
        <v>46.9</v>
      </c>
      <c r="AJ10" s="2955">
        <v>585.4</v>
      </c>
      <c r="AK10" s="2955">
        <v>586.22</v>
      </c>
      <c r="AL10" s="2955" t="s">
        <v>1327</v>
      </c>
      <c r="AM10" s="2955" t="s">
        <v>1327</v>
      </c>
      <c r="AN10" s="2955">
        <v>0.14000000000000001</v>
      </c>
      <c r="AO10" s="2955" t="s">
        <v>3128</v>
      </c>
      <c r="AP10" s="2955" t="s">
        <v>1327</v>
      </c>
      <c r="AQ10" s="2955" t="s">
        <v>1327</v>
      </c>
      <c r="AR10" s="2955" t="s">
        <v>1327</v>
      </c>
      <c r="AS10" s="2955" t="s">
        <v>3138</v>
      </c>
    </row>
    <row r="11" spans="1:45">
      <c r="A11" s="2955" t="s">
        <v>3111</v>
      </c>
      <c r="B11" s="2955" t="s">
        <v>3112</v>
      </c>
      <c r="C11" s="2955" t="s">
        <v>3113</v>
      </c>
      <c r="D11" s="2955" t="s">
        <v>3114</v>
      </c>
      <c r="E11" s="2955" t="s">
        <v>1327</v>
      </c>
      <c r="F11" s="2955" t="s">
        <v>3111</v>
      </c>
      <c r="G11" s="2955" t="s">
        <v>3115</v>
      </c>
      <c r="H11" s="2955" t="s">
        <v>3150</v>
      </c>
      <c r="I11" s="2955" t="s">
        <v>3117</v>
      </c>
      <c r="J11" s="2955">
        <v>7953.48</v>
      </c>
      <c r="K11" s="2955">
        <v>9544.18</v>
      </c>
      <c r="L11" s="2955" t="s">
        <v>3118</v>
      </c>
      <c r="M11" s="2955" t="s">
        <v>1327</v>
      </c>
      <c r="N11" s="2955" t="s">
        <v>3119</v>
      </c>
      <c r="O11" s="2955" t="s">
        <v>3120</v>
      </c>
      <c r="P11" s="2955" t="s">
        <v>1327</v>
      </c>
      <c r="Q11" s="2955" t="s">
        <v>1327</v>
      </c>
      <c r="R11" s="2955" t="s">
        <v>1327</v>
      </c>
      <c r="S11" s="2955" t="s">
        <v>1327</v>
      </c>
      <c r="T11" s="2955" t="s">
        <v>1327</v>
      </c>
      <c r="U11" s="2955" t="s">
        <v>1327</v>
      </c>
      <c r="V11" s="2955" t="s">
        <v>1327</v>
      </c>
      <c r="W11" s="2955" t="s">
        <v>3121</v>
      </c>
      <c r="X11" s="2955" t="s">
        <v>3122</v>
      </c>
      <c r="Y11" s="2955" t="s">
        <v>3123</v>
      </c>
      <c r="Z11" s="2955" t="s">
        <v>3124</v>
      </c>
      <c r="AA11" s="2955" t="s">
        <v>3124</v>
      </c>
      <c r="AB11" s="2955" t="s">
        <v>3151</v>
      </c>
      <c r="AC11" s="2955" t="s">
        <v>3126</v>
      </c>
      <c r="AD11" s="2955" t="s">
        <v>3127</v>
      </c>
      <c r="AE11" s="2955">
        <v>335.24</v>
      </c>
      <c r="AF11" s="2955">
        <v>558.73</v>
      </c>
      <c r="AG11" s="2955">
        <v>559.52</v>
      </c>
      <c r="AH11" s="2955">
        <v>46.83</v>
      </c>
      <c r="AI11" s="2955">
        <v>46.9</v>
      </c>
      <c r="AJ11" s="2955">
        <v>585.41</v>
      </c>
      <c r="AK11" s="2955">
        <v>586.25</v>
      </c>
      <c r="AL11" s="2955" t="s">
        <v>1327</v>
      </c>
      <c r="AM11" s="2955" t="s">
        <v>1327</v>
      </c>
      <c r="AN11" s="2955">
        <v>0.14000000000000001</v>
      </c>
      <c r="AO11" s="2955" t="s">
        <v>3128</v>
      </c>
      <c r="AP11" s="2955" t="s">
        <v>1327</v>
      </c>
      <c r="AQ11" s="2955" t="s">
        <v>1327</v>
      </c>
      <c r="AR11" s="2955" t="s">
        <v>1327</v>
      </c>
      <c r="AS11" s="2955" t="s">
        <v>3147</v>
      </c>
    </row>
    <row r="12" spans="1:45">
      <c r="A12" s="2955" t="s">
        <v>3111</v>
      </c>
      <c r="B12" s="2955" t="s">
        <v>3112</v>
      </c>
      <c r="C12" s="2955" t="s">
        <v>3113</v>
      </c>
      <c r="D12" s="2955" t="s">
        <v>3114</v>
      </c>
      <c r="E12" s="2955" t="s">
        <v>1327</v>
      </c>
      <c r="F12" s="2955" t="s">
        <v>3111</v>
      </c>
      <c r="G12" s="2955" t="s">
        <v>3115</v>
      </c>
      <c r="H12" s="2955" t="s">
        <v>3152</v>
      </c>
      <c r="I12" s="2955" t="s">
        <v>3117</v>
      </c>
      <c r="J12" s="2955">
        <v>18255.38</v>
      </c>
      <c r="K12" s="2955">
        <v>18255.38</v>
      </c>
      <c r="L12" s="2955" t="s">
        <v>3131</v>
      </c>
      <c r="M12" s="2955" t="s">
        <v>1327</v>
      </c>
      <c r="N12" s="2955" t="s">
        <v>3119</v>
      </c>
      <c r="O12" s="2955" t="s">
        <v>3120</v>
      </c>
      <c r="P12" s="2955" t="s">
        <v>1327</v>
      </c>
      <c r="Q12" s="2955" t="s">
        <v>1327</v>
      </c>
      <c r="R12" s="2955" t="s">
        <v>1327</v>
      </c>
      <c r="S12" s="2955" t="s">
        <v>1327</v>
      </c>
      <c r="T12" s="2955" t="s">
        <v>1327</v>
      </c>
      <c r="U12" s="2955" t="s">
        <v>1327</v>
      </c>
      <c r="V12" s="2955" t="s">
        <v>1327</v>
      </c>
      <c r="W12" s="2955" t="s">
        <v>3121</v>
      </c>
      <c r="X12" s="2955" t="s">
        <v>3122</v>
      </c>
      <c r="Y12" s="2955" t="s">
        <v>3123</v>
      </c>
      <c r="Z12" s="2955" t="s">
        <v>3124</v>
      </c>
      <c r="AA12" s="2955" t="s">
        <v>3124</v>
      </c>
      <c r="AB12" s="2955" t="s">
        <v>3153</v>
      </c>
      <c r="AC12" s="2955" t="s">
        <v>3126</v>
      </c>
      <c r="AD12" s="2955" t="s">
        <v>3127</v>
      </c>
      <c r="AE12" s="2955">
        <v>769.46</v>
      </c>
      <c r="AF12" s="2955">
        <v>1282.44</v>
      </c>
      <c r="AG12" s="2955">
        <v>1284.26</v>
      </c>
      <c r="AH12" s="2955">
        <v>46.83</v>
      </c>
      <c r="AI12" s="2955">
        <v>46.9</v>
      </c>
      <c r="AJ12" s="2955">
        <v>702.49</v>
      </c>
      <c r="AK12" s="2955">
        <v>703.5</v>
      </c>
      <c r="AL12" s="2955" t="s">
        <v>1327</v>
      </c>
      <c r="AM12" s="2955" t="s">
        <v>1327</v>
      </c>
      <c r="AN12" s="2955">
        <v>0.14000000000000001</v>
      </c>
      <c r="AO12" s="2955" t="s">
        <v>3128</v>
      </c>
      <c r="AP12" s="2955" t="s">
        <v>1327</v>
      </c>
      <c r="AQ12" s="2955" t="s">
        <v>1327</v>
      </c>
      <c r="AR12" s="2955" t="s">
        <v>1327</v>
      </c>
      <c r="AS12" s="2955" t="s">
        <v>3138</v>
      </c>
    </row>
    <row r="13" spans="1:45">
      <c r="A13" s="2955" t="s">
        <v>3111</v>
      </c>
      <c r="B13" s="2955" t="s">
        <v>3112</v>
      </c>
      <c r="C13" s="2955" t="s">
        <v>3113</v>
      </c>
      <c r="D13" s="2955" t="s">
        <v>3114</v>
      </c>
      <c r="E13" s="2955" t="s">
        <v>1327</v>
      </c>
      <c r="F13" s="2955" t="s">
        <v>3111</v>
      </c>
      <c r="G13" s="2955" t="s">
        <v>3115</v>
      </c>
      <c r="H13" s="2955" t="s">
        <v>3154</v>
      </c>
      <c r="I13" s="2955" t="s">
        <v>3117</v>
      </c>
      <c r="J13" s="2955">
        <v>2730.31</v>
      </c>
      <c r="K13" s="2955">
        <v>3276.37</v>
      </c>
      <c r="L13" s="2955" t="s">
        <v>3118</v>
      </c>
      <c r="M13" s="2955" t="s">
        <v>1327</v>
      </c>
      <c r="N13" s="2955" t="s">
        <v>3119</v>
      </c>
      <c r="O13" s="2955" t="s">
        <v>3120</v>
      </c>
      <c r="P13" s="2955" t="s">
        <v>1327</v>
      </c>
      <c r="Q13" s="2955" t="s">
        <v>1327</v>
      </c>
      <c r="R13" s="2955" t="s">
        <v>1327</v>
      </c>
      <c r="S13" s="2955" t="s">
        <v>1327</v>
      </c>
      <c r="T13" s="2955" t="s">
        <v>1327</v>
      </c>
      <c r="U13" s="2955" t="s">
        <v>1327</v>
      </c>
      <c r="V13" s="2955" t="s">
        <v>1327</v>
      </c>
      <c r="W13" s="2955" t="s">
        <v>3121</v>
      </c>
      <c r="X13" s="2955" t="s">
        <v>3134</v>
      </c>
      <c r="Y13" s="2955" t="s">
        <v>3123</v>
      </c>
      <c r="Z13" s="2955" t="s">
        <v>3124</v>
      </c>
      <c r="AA13" s="2955" t="s">
        <v>3124</v>
      </c>
      <c r="AB13" s="2955" t="s">
        <v>3155</v>
      </c>
      <c r="AC13" s="2955" t="s">
        <v>3126</v>
      </c>
      <c r="AD13" s="2955" t="s">
        <v>3127</v>
      </c>
      <c r="AE13" s="2955">
        <v>115.08</v>
      </c>
      <c r="AF13" s="2955">
        <v>191.8</v>
      </c>
      <c r="AG13" s="2955">
        <v>192.08</v>
      </c>
      <c r="AH13" s="2955">
        <v>46.83</v>
      </c>
      <c r="AI13" s="2955">
        <v>46.9</v>
      </c>
      <c r="AJ13" s="2955">
        <v>585.4</v>
      </c>
      <c r="AK13" s="2955">
        <v>586.25</v>
      </c>
      <c r="AL13" s="2955" t="s">
        <v>1327</v>
      </c>
      <c r="AM13" s="2955" t="s">
        <v>1327</v>
      </c>
      <c r="AN13" s="2955">
        <v>0.15</v>
      </c>
      <c r="AO13" s="2955" t="s">
        <v>3128</v>
      </c>
      <c r="AP13" s="2955" t="s">
        <v>1327</v>
      </c>
      <c r="AQ13" s="2955" t="s">
        <v>1327</v>
      </c>
      <c r="AR13" s="2955" t="s">
        <v>1327</v>
      </c>
      <c r="AS13" s="2955" t="s">
        <v>3129</v>
      </c>
    </row>
    <row r="14" spans="1:45">
      <c r="A14" s="2955" t="s">
        <v>3111</v>
      </c>
      <c r="B14" s="2955" t="s">
        <v>3112</v>
      </c>
      <c r="C14" s="2955" t="s">
        <v>3113</v>
      </c>
      <c r="D14" s="2955" t="s">
        <v>3114</v>
      </c>
      <c r="E14" s="2955" t="s">
        <v>1327</v>
      </c>
      <c r="F14" s="2955" t="s">
        <v>3111</v>
      </c>
      <c r="G14" s="2955" t="s">
        <v>3115</v>
      </c>
      <c r="H14" s="2955" t="s">
        <v>3156</v>
      </c>
      <c r="I14" s="2955" t="s">
        <v>3157</v>
      </c>
      <c r="J14" s="2955">
        <v>24721</v>
      </c>
      <c r="K14" s="2955">
        <v>123605</v>
      </c>
      <c r="L14" s="2955" t="s">
        <v>3158</v>
      </c>
      <c r="M14" s="2955" t="s">
        <v>1327</v>
      </c>
      <c r="N14" s="2955" t="s">
        <v>3159</v>
      </c>
      <c r="O14" s="2955" t="s">
        <v>3160</v>
      </c>
      <c r="P14" s="2955" t="s">
        <v>1327</v>
      </c>
      <c r="Q14" s="2955" t="s">
        <v>1327</v>
      </c>
      <c r="R14" s="2955" t="s">
        <v>1327</v>
      </c>
      <c r="S14" s="2955" t="s">
        <v>1327</v>
      </c>
      <c r="T14" s="2955" t="s">
        <v>1327</v>
      </c>
      <c r="U14" s="2955" t="s">
        <v>1327</v>
      </c>
      <c r="V14" s="2955" t="s">
        <v>1327</v>
      </c>
      <c r="W14" s="2955" t="s">
        <v>3121</v>
      </c>
      <c r="X14" s="2955" t="s">
        <v>3161</v>
      </c>
      <c r="Y14" s="2955" t="s">
        <v>3162</v>
      </c>
      <c r="Z14" s="2955" t="s">
        <v>3163</v>
      </c>
      <c r="AA14" s="2955" t="s">
        <v>3163</v>
      </c>
      <c r="AB14" s="2955" t="s">
        <v>3164</v>
      </c>
      <c r="AC14" s="2955" t="s">
        <v>3126</v>
      </c>
      <c r="AD14" s="2955" t="s">
        <v>3165</v>
      </c>
      <c r="AE14" s="2955">
        <v>4005</v>
      </c>
      <c r="AF14" s="2955">
        <v>6675</v>
      </c>
      <c r="AG14" s="2955">
        <v>6675</v>
      </c>
      <c r="AH14" s="2955">
        <v>180.01</v>
      </c>
      <c r="AI14" s="2955">
        <v>180.01</v>
      </c>
      <c r="AJ14" s="2955">
        <v>540.02</v>
      </c>
      <c r="AK14" s="2955">
        <v>540.02</v>
      </c>
      <c r="AL14" s="2955" t="s">
        <v>1327</v>
      </c>
      <c r="AM14" s="2955" t="s">
        <v>1327</v>
      </c>
      <c r="AN14" s="2955">
        <v>0</v>
      </c>
      <c r="AO14" s="2955" t="s">
        <v>3128</v>
      </c>
      <c r="AP14" s="2955" t="s">
        <v>1327</v>
      </c>
      <c r="AQ14" s="2955" t="s">
        <v>1327</v>
      </c>
      <c r="AR14" s="2955" t="s">
        <v>1327</v>
      </c>
      <c r="AS14" s="2955" t="s">
        <v>3166</v>
      </c>
    </row>
    <row r="15" spans="1:45">
      <c r="A15" s="2955" t="s">
        <v>3111</v>
      </c>
      <c r="B15" s="2955" t="s">
        <v>3112</v>
      </c>
      <c r="C15" s="2955" t="s">
        <v>3113</v>
      </c>
      <c r="D15" s="2955" t="s">
        <v>3114</v>
      </c>
      <c r="E15" s="2955" t="s">
        <v>1327</v>
      </c>
      <c r="F15" s="2955" t="s">
        <v>3111</v>
      </c>
      <c r="G15" s="2955" t="s">
        <v>3115</v>
      </c>
      <c r="H15" s="2955" t="s">
        <v>3167</v>
      </c>
      <c r="I15" s="2955" t="s">
        <v>3157</v>
      </c>
      <c r="J15" s="2955">
        <v>38850</v>
      </c>
      <c r="K15" s="2955">
        <v>93240</v>
      </c>
      <c r="L15" s="2955" t="s">
        <v>3168</v>
      </c>
      <c r="M15" s="2955" t="s">
        <v>1327</v>
      </c>
      <c r="N15" s="2955" t="s">
        <v>3159</v>
      </c>
      <c r="O15" s="2955" t="s">
        <v>3169</v>
      </c>
      <c r="P15" s="2955" t="s">
        <v>1327</v>
      </c>
      <c r="Q15" s="2955" t="s">
        <v>1327</v>
      </c>
      <c r="R15" s="2955" t="s">
        <v>1327</v>
      </c>
      <c r="S15" s="2955" t="s">
        <v>1327</v>
      </c>
      <c r="T15" s="2955" t="s">
        <v>1327</v>
      </c>
      <c r="U15" s="2955" t="s">
        <v>1327</v>
      </c>
      <c r="V15" s="2955" t="s">
        <v>1327</v>
      </c>
      <c r="W15" s="2955" t="s">
        <v>3121</v>
      </c>
      <c r="X15" s="2955" t="s">
        <v>3161</v>
      </c>
      <c r="Y15" s="2955" t="s">
        <v>3162</v>
      </c>
      <c r="Z15" s="2955" t="s">
        <v>3163</v>
      </c>
      <c r="AA15" s="2955" t="s">
        <v>3163</v>
      </c>
      <c r="AB15" s="2955" t="s">
        <v>3170</v>
      </c>
      <c r="AC15" s="2955" t="s">
        <v>3126</v>
      </c>
      <c r="AD15" s="2955" t="s">
        <v>3165</v>
      </c>
      <c r="AE15" s="2955">
        <v>6294</v>
      </c>
      <c r="AF15" s="2955">
        <v>10489</v>
      </c>
      <c r="AG15" s="2955">
        <v>10489</v>
      </c>
      <c r="AH15" s="2955">
        <v>179.99</v>
      </c>
      <c r="AI15" s="2955">
        <v>179.99</v>
      </c>
      <c r="AJ15" s="2955">
        <v>1124.94</v>
      </c>
      <c r="AK15" s="2955">
        <v>1124.95</v>
      </c>
      <c r="AL15" s="2955" t="s">
        <v>1327</v>
      </c>
      <c r="AM15" s="2955" t="s">
        <v>1327</v>
      </c>
      <c r="AN15" s="2955">
        <v>0</v>
      </c>
      <c r="AO15" s="2955" t="s">
        <v>3128</v>
      </c>
      <c r="AP15" s="2955" t="s">
        <v>1327</v>
      </c>
      <c r="AQ15" s="2955" t="s">
        <v>1327</v>
      </c>
      <c r="AR15" s="2955" t="s">
        <v>1327</v>
      </c>
      <c r="AS15" s="2955" t="s">
        <v>3129</v>
      </c>
    </row>
    <row r="16" spans="1:45">
      <c r="A16" s="2955" t="s">
        <v>3111</v>
      </c>
      <c r="B16" s="2955" t="s">
        <v>3112</v>
      </c>
      <c r="C16" s="2955" t="s">
        <v>3113</v>
      </c>
      <c r="D16" s="2955" t="s">
        <v>3114</v>
      </c>
      <c r="E16" s="2955" t="s">
        <v>1327</v>
      </c>
      <c r="F16" s="2955" t="s">
        <v>3111</v>
      </c>
      <c r="G16" s="2955" t="s">
        <v>3115</v>
      </c>
      <c r="H16" s="2955" t="s">
        <v>3171</v>
      </c>
      <c r="I16" s="2955" t="s">
        <v>3157</v>
      </c>
      <c r="J16" s="2955">
        <v>25459</v>
      </c>
      <c r="K16" s="2955">
        <v>127295</v>
      </c>
      <c r="L16" s="2955" t="s">
        <v>3158</v>
      </c>
      <c r="M16" s="2955" t="s">
        <v>1327</v>
      </c>
      <c r="N16" s="2955" t="s">
        <v>3159</v>
      </c>
      <c r="O16" s="2955" t="s">
        <v>3160</v>
      </c>
      <c r="P16" s="2955" t="s">
        <v>1327</v>
      </c>
      <c r="Q16" s="2955" t="s">
        <v>1327</v>
      </c>
      <c r="R16" s="2955" t="s">
        <v>1327</v>
      </c>
      <c r="S16" s="2955" t="s">
        <v>1327</v>
      </c>
      <c r="T16" s="2955" t="s">
        <v>1327</v>
      </c>
      <c r="U16" s="2955" t="s">
        <v>1327</v>
      </c>
      <c r="V16" s="2955" t="s">
        <v>1327</v>
      </c>
      <c r="W16" s="2955" t="s">
        <v>3121</v>
      </c>
      <c r="X16" s="2955" t="s">
        <v>3161</v>
      </c>
      <c r="Y16" s="2955" t="s">
        <v>3162</v>
      </c>
      <c r="Z16" s="2955" t="s">
        <v>3163</v>
      </c>
      <c r="AA16" s="2955" t="s">
        <v>3163</v>
      </c>
      <c r="AB16" s="2955" t="s">
        <v>3172</v>
      </c>
      <c r="AC16" s="2955" t="s">
        <v>3126</v>
      </c>
      <c r="AD16" s="2955" t="s">
        <v>3165</v>
      </c>
      <c r="AE16" s="2955">
        <v>4125</v>
      </c>
      <c r="AF16" s="2955">
        <v>6875</v>
      </c>
      <c r="AG16" s="2955">
        <v>6875</v>
      </c>
      <c r="AH16" s="2955">
        <v>180.03</v>
      </c>
      <c r="AI16" s="2955">
        <v>180.03</v>
      </c>
      <c r="AJ16" s="2955">
        <v>540.08000000000004</v>
      </c>
      <c r="AK16" s="2955">
        <v>540.08000000000004</v>
      </c>
      <c r="AL16" s="2955" t="s">
        <v>1327</v>
      </c>
      <c r="AM16" s="2955" t="s">
        <v>1327</v>
      </c>
      <c r="AN16" s="2955">
        <v>0</v>
      </c>
      <c r="AO16" s="2955" t="s">
        <v>3128</v>
      </c>
      <c r="AP16" s="2955" t="s">
        <v>1327</v>
      </c>
      <c r="AQ16" s="2955" t="s">
        <v>1327</v>
      </c>
      <c r="AR16" s="2955" t="s">
        <v>1327</v>
      </c>
      <c r="AS16" s="2955" t="s">
        <v>3129</v>
      </c>
    </row>
    <row r="17" spans="1:45">
      <c r="A17" s="2955" t="s">
        <v>3111</v>
      </c>
      <c r="B17" s="2955" t="s">
        <v>3112</v>
      </c>
      <c r="C17" s="2955" t="s">
        <v>3113</v>
      </c>
      <c r="D17" s="2955" t="s">
        <v>3114</v>
      </c>
      <c r="E17" s="2955" t="s">
        <v>1327</v>
      </c>
      <c r="F17" s="2955" t="s">
        <v>3111</v>
      </c>
      <c r="G17" s="2955" t="s">
        <v>3115</v>
      </c>
      <c r="H17" s="2955" t="s">
        <v>3173</v>
      </c>
      <c r="I17" s="2955" t="s">
        <v>3157</v>
      </c>
      <c r="J17" s="2955">
        <v>26421</v>
      </c>
      <c r="K17" s="2955">
        <v>60768.3</v>
      </c>
      <c r="L17" s="2955" t="s">
        <v>3174</v>
      </c>
      <c r="M17" s="2955" t="s">
        <v>1327</v>
      </c>
      <c r="N17" s="2955" t="s">
        <v>3159</v>
      </c>
      <c r="O17" s="2955" t="s">
        <v>3169</v>
      </c>
      <c r="P17" s="2955" t="s">
        <v>1327</v>
      </c>
      <c r="Q17" s="2955" t="s">
        <v>1327</v>
      </c>
      <c r="R17" s="2955" t="s">
        <v>1327</v>
      </c>
      <c r="S17" s="2955" t="s">
        <v>1327</v>
      </c>
      <c r="T17" s="2955" t="s">
        <v>1327</v>
      </c>
      <c r="U17" s="2955" t="s">
        <v>1327</v>
      </c>
      <c r="V17" s="2955" t="s">
        <v>1327</v>
      </c>
      <c r="W17" s="2955" t="s">
        <v>3121</v>
      </c>
      <c r="X17" s="2955" t="s">
        <v>3161</v>
      </c>
      <c r="Y17" s="2955" t="s">
        <v>3162</v>
      </c>
      <c r="Z17" s="2955" t="s">
        <v>3163</v>
      </c>
      <c r="AA17" s="2955" t="s">
        <v>3163</v>
      </c>
      <c r="AB17" s="2955" t="s">
        <v>3175</v>
      </c>
      <c r="AC17" s="2955" t="s">
        <v>3126</v>
      </c>
      <c r="AD17" s="2955" t="s">
        <v>3165</v>
      </c>
      <c r="AE17" s="2955">
        <v>4281</v>
      </c>
      <c r="AF17" s="2955">
        <v>7134</v>
      </c>
      <c r="AG17" s="2955">
        <v>7134</v>
      </c>
      <c r="AH17" s="2955">
        <v>180.01</v>
      </c>
      <c r="AI17" s="2955">
        <v>180.01</v>
      </c>
      <c r="AJ17" s="2955">
        <v>1173.96</v>
      </c>
      <c r="AK17" s="2955">
        <v>1173.97</v>
      </c>
      <c r="AL17" s="2955" t="s">
        <v>1327</v>
      </c>
      <c r="AM17" s="2955" t="s">
        <v>1327</v>
      </c>
      <c r="AN17" s="2955">
        <v>0</v>
      </c>
      <c r="AO17" s="2955" t="s">
        <v>3128</v>
      </c>
      <c r="AP17" s="2955" t="s">
        <v>1327</v>
      </c>
      <c r="AQ17" s="2955" t="s">
        <v>1327</v>
      </c>
      <c r="AR17" s="2955" t="s">
        <v>1327</v>
      </c>
      <c r="AS17" s="2955" t="s">
        <v>3138</v>
      </c>
    </row>
    <row r="18" spans="1:45" s="2962" customFormat="1">
      <c r="A18" s="2962" t="s">
        <v>3176</v>
      </c>
      <c r="B18" s="2962" t="s">
        <v>3112</v>
      </c>
      <c r="C18" s="2962" t="s">
        <v>3113</v>
      </c>
      <c r="D18" s="2962" t="s">
        <v>3114</v>
      </c>
      <c r="E18" s="2962" t="s">
        <v>1327</v>
      </c>
      <c r="F18" s="2962" t="s">
        <v>3176</v>
      </c>
      <c r="G18" s="2962" t="s">
        <v>3115</v>
      </c>
      <c r="H18" s="2962" t="s">
        <v>3156</v>
      </c>
      <c r="I18" s="2962" t="s">
        <v>3177</v>
      </c>
      <c r="J18" s="2962">
        <v>88566</v>
      </c>
      <c r="K18" s="2962">
        <v>200159.2</v>
      </c>
      <c r="L18" s="2962" t="s">
        <v>3178</v>
      </c>
      <c r="M18" s="2962" t="s">
        <v>1327</v>
      </c>
      <c r="N18" s="2962" t="s">
        <v>3179</v>
      </c>
      <c r="O18" s="2962" t="s">
        <v>3180</v>
      </c>
      <c r="P18" s="2962" t="s">
        <v>1327</v>
      </c>
      <c r="Q18" s="2962" t="s">
        <v>1327</v>
      </c>
      <c r="R18" s="2962" t="s">
        <v>1327</v>
      </c>
      <c r="S18" s="2962" t="s">
        <v>1327</v>
      </c>
      <c r="T18" s="2962" t="s">
        <v>1327</v>
      </c>
      <c r="U18" s="2962" t="s">
        <v>1327</v>
      </c>
      <c r="V18" s="2962" t="s">
        <v>1327</v>
      </c>
      <c r="W18" s="2962" t="s">
        <v>3121</v>
      </c>
      <c r="X18" s="2962" t="s">
        <v>3181</v>
      </c>
      <c r="Y18" s="2962" t="s">
        <v>3182</v>
      </c>
      <c r="Z18" s="2962" t="s">
        <v>3183</v>
      </c>
      <c r="AA18" s="2962" t="s">
        <v>3183</v>
      </c>
      <c r="AB18" s="2962" t="s">
        <v>3184</v>
      </c>
      <c r="AC18" s="2962" t="s">
        <v>3126</v>
      </c>
      <c r="AD18" s="2962" t="s">
        <v>3185</v>
      </c>
      <c r="AE18" s="2962">
        <v>24719</v>
      </c>
      <c r="AF18" s="2962">
        <v>41198</v>
      </c>
      <c r="AG18" s="2962">
        <v>41203</v>
      </c>
      <c r="AH18" s="2962">
        <v>310.11</v>
      </c>
      <c r="AI18" s="2962">
        <v>310.14999999999998</v>
      </c>
      <c r="AJ18" s="2962">
        <v>2058.2600000000002</v>
      </c>
      <c r="AK18" s="2962">
        <v>2058.5100000000002</v>
      </c>
      <c r="AL18" s="2962" t="s">
        <v>1327</v>
      </c>
      <c r="AM18" s="2962" t="s">
        <v>1327</v>
      </c>
      <c r="AN18" s="2962">
        <v>0.01</v>
      </c>
      <c r="AO18" s="2962" t="s">
        <v>3128</v>
      </c>
      <c r="AP18" s="2962" t="s">
        <v>1327</v>
      </c>
      <c r="AQ18" s="2962" t="s">
        <v>1327</v>
      </c>
      <c r="AR18" s="2962" t="s">
        <v>1327</v>
      </c>
      <c r="AS18" s="2962" t="s">
        <v>3166</v>
      </c>
    </row>
    <row r="19" spans="1:45" s="2962" customFormat="1">
      <c r="A19" s="2962" t="s">
        <v>3176</v>
      </c>
      <c r="B19" s="2962" t="s">
        <v>3112</v>
      </c>
      <c r="C19" s="2962" t="s">
        <v>3113</v>
      </c>
      <c r="D19" s="2962" t="s">
        <v>3114</v>
      </c>
      <c r="E19" s="2962" t="s">
        <v>1327</v>
      </c>
      <c r="F19" s="2962" t="s">
        <v>3176</v>
      </c>
      <c r="G19" s="2962" t="s">
        <v>3115</v>
      </c>
      <c r="H19" s="2962" t="s">
        <v>3167</v>
      </c>
      <c r="I19" s="2962" t="s">
        <v>3177</v>
      </c>
      <c r="J19" s="2962">
        <v>137323.5</v>
      </c>
      <c r="K19" s="2962">
        <v>233450</v>
      </c>
      <c r="L19" s="2962" t="s">
        <v>3186</v>
      </c>
      <c r="M19" s="2962" t="s">
        <v>1327</v>
      </c>
      <c r="N19" s="2962" t="s">
        <v>3179</v>
      </c>
      <c r="O19" s="2962" t="s">
        <v>3187</v>
      </c>
      <c r="P19" s="2962" t="s">
        <v>1327</v>
      </c>
      <c r="Q19" s="2962" t="s">
        <v>1327</v>
      </c>
      <c r="R19" s="2962" t="s">
        <v>1327</v>
      </c>
      <c r="S19" s="2962" t="s">
        <v>1327</v>
      </c>
      <c r="T19" s="2962" t="s">
        <v>1327</v>
      </c>
      <c r="U19" s="2962" t="s">
        <v>1327</v>
      </c>
      <c r="V19" s="2962" t="s">
        <v>1327</v>
      </c>
      <c r="W19" s="2962" t="s">
        <v>3121</v>
      </c>
      <c r="X19" s="2962" t="s">
        <v>3181</v>
      </c>
      <c r="Y19" s="2962" t="s">
        <v>3182</v>
      </c>
      <c r="Z19" s="2962" t="s">
        <v>3183</v>
      </c>
      <c r="AA19" s="2962" t="s">
        <v>3183</v>
      </c>
      <c r="AB19" s="2962" t="s">
        <v>3188</v>
      </c>
      <c r="AC19" s="2962" t="s">
        <v>3126</v>
      </c>
      <c r="AD19" s="2962" t="s">
        <v>3185</v>
      </c>
      <c r="AE19" s="2962">
        <v>36698</v>
      </c>
      <c r="AF19" s="2962">
        <v>61162</v>
      </c>
      <c r="AG19" s="2962">
        <v>61167</v>
      </c>
      <c r="AH19" s="2962">
        <v>296.92</v>
      </c>
      <c r="AI19" s="2962">
        <v>296.95</v>
      </c>
      <c r="AJ19" s="2962">
        <v>2619.91</v>
      </c>
      <c r="AK19" s="2962">
        <v>2620.13</v>
      </c>
      <c r="AL19" s="2962" t="s">
        <v>1327</v>
      </c>
      <c r="AM19" s="2962" t="s">
        <v>1327</v>
      </c>
      <c r="AN19" s="2962">
        <v>0.01</v>
      </c>
      <c r="AO19" s="2962" t="s">
        <v>3128</v>
      </c>
      <c r="AP19" s="2962" t="s">
        <v>1327</v>
      </c>
      <c r="AQ19" s="2962" t="s">
        <v>1327</v>
      </c>
      <c r="AR19" s="2962" t="s">
        <v>1327</v>
      </c>
      <c r="AS19" s="2962" t="s">
        <v>3166</v>
      </c>
    </row>
    <row r="20" spans="1:45">
      <c r="A20" s="2955" t="s">
        <v>3176</v>
      </c>
      <c r="B20" s="2955" t="s">
        <v>3112</v>
      </c>
      <c r="C20" s="2955" t="s">
        <v>3113</v>
      </c>
      <c r="D20" s="2955" t="s">
        <v>3114</v>
      </c>
      <c r="E20" s="2955" t="s">
        <v>1327</v>
      </c>
      <c r="F20" s="2955" t="s">
        <v>3176</v>
      </c>
      <c r="G20" s="2955" t="s">
        <v>3115</v>
      </c>
      <c r="H20" s="2955" t="s">
        <v>3173</v>
      </c>
      <c r="I20" s="2955" t="s">
        <v>3189</v>
      </c>
      <c r="J20" s="2955">
        <v>21255.599999999999</v>
      </c>
      <c r="K20" s="2955">
        <v>59515.68</v>
      </c>
      <c r="L20" s="2955" t="s">
        <v>3190</v>
      </c>
      <c r="M20" s="2955" t="s">
        <v>1327</v>
      </c>
      <c r="N20" s="2955" t="s">
        <v>3191</v>
      </c>
      <c r="O20" s="2955" t="s">
        <v>3192</v>
      </c>
      <c r="P20" s="2955" t="s">
        <v>1327</v>
      </c>
      <c r="Q20" s="2955" t="s">
        <v>1327</v>
      </c>
      <c r="R20" s="2955" t="s">
        <v>1327</v>
      </c>
      <c r="S20" s="2955" t="s">
        <v>1327</v>
      </c>
      <c r="T20" s="2955" t="s">
        <v>1327</v>
      </c>
      <c r="U20" s="2955" t="s">
        <v>1327</v>
      </c>
      <c r="V20" s="2955" t="s">
        <v>1327</v>
      </c>
      <c r="W20" s="2955" t="s">
        <v>3121</v>
      </c>
      <c r="X20" s="2955" t="s">
        <v>3181</v>
      </c>
      <c r="Y20" s="2955" t="s">
        <v>3182</v>
      </c>
      <c r="Z20" s="2955" t="s">
        <v>3183</v>
      </c>
      <c r="AA20" s="2955" t="s">
        <v>3183</v>
      </c>
      <c r="AB20" s="2955" t="s">
        <v>3193</v>
      </c>
      <c r="AC20" s="2955" t="s">
        <v>3126</v>
      </c>
      <c r="AD20" s="2955" t="s">
        <v>3185</v>
      </c>
      <c r="AE20" s="2955">
        <v>6642</v>
      </c>
      <c r="AF20" s="2955">
        <v>11069</v>
      </c>
      <c r="AG20" s="2955">
        <v>11074</v>
      </c>
      <c r="AH20" s="2955">
        <v>347.17</v>
      </c>
      <c r="AI20" s="2955">
        <v>347.33</v>
      </c>
      <c r="AJ20" s="2955">
        <v>1859.84</v>
      </c>
      <c r="AK20" s="2955">
        <v>1860.69</v>
      </c>
      <c r="AL20" s="2955" t="s">
        <v>1327</v>
      </c>
      <c r="AM20" s="2955" t="s">
        <v>1327</v>
      </c>
      <c r="AN20" s="2955">
        <v>0.05</v>
      </c>
      <c r="AO20" s="2955" t="s">
        <v>3128</v>
      </c>
      <c r="AP20" s="2955" t="s">
        <v>1327</v>
      </c>
      <c r="AQ20" s="2955" t="s">
        <v>1327</v>
      </c>
      <c r="AR20" s="2955" t="s">
        <v>1327</v>
      </c>
      <c r="AS20" s="2955" t="s">
        <v>3166</v>
      </c>
    </row>
    <row r="21" spans="1:45">
      <c r="A21" s="2955" t="s">
        <v>3176</v>
      </c>
      <c r="B21" s="2955" t="s">
        <v>3112</v>
      </c>
      <c r="C21" s="2955" t="s">
        <v>3113</v>
      </c>
      <c r="D21" s="2955" t="s">
        <v>3114</v>
      </c>
      <c r="E21" s="2955" t="s">
        <v>1327</v>
      </c>
      <c r="F21" s="2955" t="s">
        <v>3176</v>
      </c>
      <c r="G21" s="2955" t="s">
        <v>3115</v>
      </c>
      <c r="H21" s="2955" t="s">
        <v>3194</v>
      </c>
      <c r="I21" s="2955" t="s">
        <v>3177</v>
      </c>
      <c r="J21" s="2955">
        <v>16561</v>
      </c>
      <c r="K21" s="2955">
        <v>41402.5</v>
      </c>
      <c r="L21" s="2955" t="s">
        <v>3195</v>
      </c>
      <c r="M21" s="2955" t="s">
        <v>1327</v>
      </c>
      <c r="N21" s="2955" t="s">
        <v>3196</v>
      </c>
      <c r="O21" s="2955" t="s">
        <v>3180</v>
      </c>
      <c r="P21" s="2955" t="s">
        <v>1327</v>
      </c>
      <c r="Q21" s="2955" t="s">
        <v>1327</v>
      </c>
      <c r="R21" s="2955" t="s">
        <v>1327</v>
      </c>
      <c r="S21" s="2955" t="s">
        <v>1327</v>
      </c>
      <c r="T21" s="2955" t="s">
        <v>1327</v>
      </c>
      <c r="U21" s="2955" t="s">
        <v>1327</v>
      </c>
      <c r="V21" s="2955" t="s">
        <v>1327</v>
      </c>
      <c r="W21" s="2955" t="s">
        <v>3121</v>
      </c>
      <c r="X21" s="2955" t="s">
        <v>3181</v>
      </c>
      <c r="Y21" s="2955" t="s">
        <v>3182</v>
      </c>
      <c r="Z21" s="2955" t="s">
        <v>3183</v>
      </c>
      <c r="AA21" s="2955" t="s">
        <v>3183</v>
      </c>
      <c r="AB21" s="2955" t="s">
        <v>3197</v>
      </c>
      <c r="AC21" s="2955" t="s">
        <v>3126</v>
      </c>
      <c r="AD21" s="2955" t="s">
        <v>3185</v>
      </c>
      <c r="AE21" s="2955">
        <v>4721</v>
      </c>
      <c r="AF21" s="2955">
        <v>7867</v>
      </c>
      <c r="AG21" s="2955">
        <v>7872</v>
      </c>
      <c r="AH21" s="2955">
        <v>316.69</v>
      </c>
      <c r="AI21" s="2955">
        <v>316.89</v>
      </c>
      <c r="AJ21" s="2955">
        <v>1900.12</v>
      </c>
      <c r="AK21" s="2955">
        <v>1901.32</v>
      </c>
      <c r="AL21" s="2955" t="s">
        <v>1327</v>
      </c>
      <c r="AM21" s="2955" t="s">
        <v>1327</v>
      </c>
      <c r="AN21" s="2955">
        <v>0.06</v>
      </c>
      <c r="AO21" s="2955" t="s">
        <v>3128</v>
      </c>
      <c r="AP21" s="2955" t="s">
        <v>1327</v>
      </c>
      <c r="AQ21" s="2955" t="s">
        <v>1327</v>
      </c>
      <c r="AR21" s="2955" t="s">
        <v>1327</v>
      </c>
      <c r="AS21" s="2955" t="s">
        <v>3166</v>
      </c>
    </row>
    <row r="22" spans="1:45" s="2956" customFormat="1">
      <c r="A22" s="2956" t="s">
        <v>3198</v>
      </c>
      <c r="B22" s="2956" t="s">
        <v>3112</v>
      </c>
      <c r="C22" s="2956" t="s">
        <v>3113</v>
      </c>
      <c r="D22" s="2956" t="s">
        <v>3199</v>
      </c>
      <c r="E22" s="2956" t="s">
        <v>1327</v>
      </c>
      <c r="F22" s="2956" t="s">
        <v>3198</v>
      </c>
      <c r="G22" s="2956" t="s">
        <v>3200</v>
      </c>
      <c r="H22" s="2956" t="s">
        <v>3201</v>
      </c>
      <c r="I22" s="2956" t="s">
        <v>3157</v>
      </c>
      <c r="J22" s="2956">
        <v>3330</v>
      </c>
      <c r="K22" s="2956">
        <v>13320</v>
      </c>
      <c r="L22" s="2956" t="s">
        <v>3202</v>
      </c>
      <c r="M22" s="2956" t="s">
        <v>1327</v>
      </c>
      <c r="N22" s="2956" t="s">
        <v>3203</v>
      </c>
      <c r="O22" s="2956" t="s">
        <v>3204</v>
      </c>
      <c r="P22" s="2956" t="s">
        <v>1327</v>
      </c>
      <c r="Q22" s="2956" t="s">
        <v>1327</v>
      </c>
      <c r="R22" s="2956" t="s">
        <v>1327</v>
      </c>
      <c r="S22" s="2956" t="s">
        <v>1327</v>
      </c>
      <c r="T22" s="2956" t="s">
        <v>1327</v>
      </c>
      <c r="U22" s="2956" t="s">
        <v>1327</v>
      </c>
      <c r="V22" s="2956" t="s">
        <v>1327</v>
      </c>
      <c r="W22" s="2956" t="s">
        <v>3205</v>
      </c>
      <c r="X22" s="2956" t="s">
        <v>3206</v>
      </c>
      <c r="Y22" s="2956" t="s">
        <v>3207</v>
      </c>
      <c r="Z22" s="2956" t="s">
        <v>3207</v>
      </c>
      <c r="AA22" s="2956" t="s">
        <v>3207</v>
      </c>
      <c r="AB22" s="2956" t="s">
        <v>3208</v>
      </c>
      <c r="AC22" s="2956" t="s">
        <v>3126</v>
      </c>
      <c r="AD22" s="2956" t="s">
        <v>3209</v>
      </c>
      <c r="AE22" s="2956">
        <v>4495.5</v>
      </c>
      <c r="AF22" s="2956">
        <v>4495.5</v>
      </c>
      <c r="AG22" s="2956">
        <v>4508.8100000000004</v>
      </c>
      <c r="AH22" s="2956">
        <v>900</v>
      </c>
      <c r="AI22" s="2956">
        <v>902.66</v>
      </c>
      <c r="AJ22" s="2956">
        <v>3375</v>
      </c>
      <c r="AK22" s="2956">
        <v>3385</v>
      </c>
      <c r="AL22" s="2956" t="s">
        <v>1327</v>
      </c>
      <c r="AM22" s="2956" t="s">
        <v>1327</v>
      </c>
      <c r="AN22" s="2956">
        <v>0.3</v>
      </c>
      <c r="AO22" s="2956" t="s">
        <v>3128</v>
      </c>
      <c r="AP22" s="2956" t="s">
        <v>1327</v>
      </c>
      <c r="AQ22" s="2956" t="s">
        <v>1327</v>
      </c>
      <c r="AR22" s="2956" t="s">
        <v>1327</v>
      </c>
      <c r="AS22" s="2956" t="s">
        <v>3166</v>
      </c>
    </row>
    <row r="23" spans="1:45" s="2956" customFormat="1">
      <c r="A23" s="2956" t="s">
        <v>3210</v>
      </c>
      <c r="B23" s="2956" t="s">
        <v>3112</v>
      </c>
      <c r="C23" s="2956" t="s">
        <v>3113</v>
      </c>
      <c r="D23" s="2956" t="s">
        <v>3211</v>
      </c>
      <c r="E23" s="2956" t="s">
        <v>1327</v>
      </c>
      <c r="F23" s="2956" t="s">
        <v>3210</v>
      </c>
      <c r="G23" s="2956" t="s">
        <v>3200</v>
      </c>
      <c r="H23" s="2956">
        <v>25</v>
      </c>
      <c r="I23" s="2956" t="s">
        <v>3189</v>
      </c>
      <c r="J23" s="2956">
        <v>1331.42</v>
      </c>
      <c r="K23" s="2956">
        <v>3328.55</v>
      </c>
      <c r="L23" s="2956" t="s">
        <v>3195</v>
      </c>
      <c r="M23" s="2956" t="s">
        <v>1327</v>
      </c>
      <c r="N23" s="2956" t="s">
        <v>3212</v>
      </c>
      <c r="O23" s="2956" t="s">
        <v>3204</v>
      </c>
      <c r="P23" s="2956" t="s">
        <v>1327</v>
      </c>
      <c r="Q23" s="2956" t="s">
        <v>1327</v>
      </c>
      <c r="R23" s="2956" t="s">
        <v>1327</v>
      </c>
      <c r="S23" s="2956" t="s">
        <v>1327</v>
      </c>
      <c r="T23" s="2956" t="s">
        <v>1327</v>
      </c>
      <c r="U23" s="2956" t="s">
        <v>1327</v>
      </c>
      <c r="V23" s="2956" t="s">
        <v>1327</v>
      </c>
      <c r="W23" s="2956" t="s">
        <v>3205</v>
      </c>
      <c r="X23" s="2956" t="s">
        <v>3213</v>
      </c>
      <c r="Y23" s="2956" t="s">
        <v>3214</v>
      </c>
      <c r="Z23" s="2956" t="s">
        <v>3214</v>
      </c>
      <c r="AA23" s="2956" t="s">
        <v>3214</v>
      </c>
      <c r="AB23" s="2956" t="s">
        <v>3215</v>
      </c>
      <c r="AC23" s="2956" t="s">
        <v>3126</v>
      </c>
      <c r="AD23" s="2956" t="s">
        <v>3216</v>
      </c>
      <c r="AE23" s="2956">
        <v>1198.27</v>
      </c>
      <c r="AF23" s="2956">
        <v>1198.26</v>
      </c>
      <c r="AG23" s="2956">
        <v>1198.4100000000001</v>
      </c>
      <c r="AH23" s="2956">
        <v>599.99</v>
      </c>
      <c r="AI23" s="2956">
        <v>600.07000000000005</v>
      </c>
      <c r="AJ23" s="2956">
        <v>3599.97</v>
      </c>
      <c r="AK23" s="2956">
        <v>3600.4</v>
      </c>
      <c r="AL23" s="2956" t="s">
        <v>1327</v>
      </c>
      <c r="AM23" s="2956" t="s">
        <v>1327</v>
      </c>
      <c r="AN23" s="2956">
        <v>0.01</v>
      </c>
      <c r="AO23" s="2956" t="s">
        <v>3128</v>
      </c>
      <c r="AP23" s="2956" t="s">
        <v>1327</v>
      </c>
      <c r="AQ23" s="2956" t="s">
        <v>1327</v>
      </c>
      <c r="AR23" s="2956" t="s">
        <v>1327</v>
      </c>
      <c r="AS23" s="2956" t="s">
        <v>3166</v>
      </c>
    </row>
    <row r="24" spans="1:45">
      <c r="A24" s="2955" t="s">
        <v>3217</v>
      </c>
      <c r="B24" s="2955" t="s">
        <v>3112</v>
      </c>
      <c r="C24" s="2955" t="s">
        <v>3113</v>
      </c>
      <c r="D24" s="2955" t="s">
        <v>3114</v>
      </c>
      <c r="E24" s="2955" t="s">
        <v>1327</v>
      </c>
      <c r="F24" s="2955" t="s">
        <v>3217</v>
      </c>
      <c r="G24" s="2955" t="s">
        <v>3200</v>
      </c>
      <c r="H24" s="2955">
        <v>13</v>
      </c>
      <c r="I24" s="2955" t="s">
        <v>3177</v>
      </c>
      <c r="J24" s="2955">
        <v>2196.15</v>
      </c>
      <c r="K24" s="2955">
        <v>5477.2</v>
      </c>
      <c r="L24" s="2955" t="s">
        <v>3218</v>
      </c>
      <c r="M24" s="2955" t="s">
        <v>1327</v>
      </c>
      <c r="N24" s="2955" t="s">
        <v>3219</v>
      </c>
      <c r="O24" s="2955" t="s">
        <v>3204</v>
      </c>
      <c r="P24" s="2955" t="s">
        <v>1327</v>
      </c>
      <c r="Q24" s="2955" t="s">
        <v>1327</v>
      </c>
      <c r="R24" s="2955" t="s">
        <v>1327</v>
      </c>
      <c r="S24" s="2955" t="s">
        <v>1327</v>
      </c>
      <c r="T24" s="2955" t="s">
        <v>1327</v>
      </c>
      <c r="U24" s="2955" t="s">
        <v>1327</v>
      </c>
      <c r="V24" s="2955" t="s">
        <v>1327</v>
      </c>
      <c r="W24" s="2955" t="s">
        <v>3205</v>
      </c>
      <c r="X24" s="2955" t="s">
        <v>3220</v>
      </c>
      <c r="Y24" s="2955" t="s">
        <v>3221</v>
      </c>
      <c r="Z24" s="2955" t="s">
        <v>3221</v>
      </c>
      <c r="AA24" s="2955" t="s">
        <v>3221</v>
      </c>
      <c r="AB24" s="2955" t="s">
        <v>3222</v>
      </c>
      <c r="AC24" s="2955" t="s">
        <v>3126</v>
      </c>
      <c r="AD24" s="2955" t="s">
        <v>3223</v>
      </c>
      <c r="AE24" s="2955">
        <v>979.26</v>
      </c>
      <c r="AF24" s="2955">
        <v>979.25</v>
      </c>
      <c r="AG24" s="2955">
        <v>979.48</v>
      </c>
      <c r="AH24" s="2955">
        <v>297.26</v>
      </c>
      <c r="AI24" s="2955">
        <v>297.33</v>
      </c>
      <c r="AJ24" s="2955">
        <v>1787.88</v>
      </c>
      <c r="AK24" s="2955">
        <v>1788.28</v>
      </c>
      <c r="AL24" s="2955" t="s">
        <v>1327</v>
      </c>
      <c r="AM24" s="2955" t="s">
        <v>1327</v>
      </c>
      <c r="AN24" s="2955">
        <v>0.02</v>
      </c>
      <c r="AO24" s="2955" t="s">
        <v>3128</v>
      </c>
      <c r="AP24" s="2955" t="s">
        <v>1327</v>
      </c>
      <c r="AQ24" s="2955" t="s">
        <v>1327</v>
      </c>
      <c r="AR24" s="2955" t="s">
        <v>1327</v>
      </c>
      <c r="AS24" s="2955" t="s">
        <v>3129</v>
      </c>
    </row>
    <row r="25" spans="1:45">
      <c r="A25" s="2955" t="s">
        <v>3224</v>
      </c>
      <c r="B25" s="2955" t="s">
        <v>3112</v>
      </c>
      <c r="C25" s="2955" t="s">
        <v>3113</v>
      </c>
      <c r="D25" s="2955" t="s">
        <v>3199</v>
      </c>
      <c r="E25" s="2955" t="s">
        <v>1327</v>
      </c>
      <c r="F25" s="2955" t="s">
        <v>3224</v>
      </c>
      <c r="G25" s="2955" t="s">
        <v>3200</v>
      </c>
      <c r="H25" s="2955">
        <v>6</v>
      </c>
      <c r="I25" s="2955" t="s">
        <v>3177</v>
      </c>
      <c r="J25" s="2955">
        <v>1600.07</v>
      </c>
      <c r="K25" s="2955">
        <v>5600.25</v>
      </c>
      <c r="L25" s="2955" t="s">
        <v>3225</v>
      </c>
      <c r="M25" s="2955" t="s">
        <v>1327</v>
      </c>
      <c r="N25" s="2955" t="s">
        <v>3212</v>
      </c>
      <c r="O25" s="2955" t="s">
        <v>3204</v>
      </c>
      <c r="P25" s="2955" t="s">
        <v>1327</v>
      </c>
      <c r="Q25" s="2955" t="s">
        <v>1327</v>
      </c>
      <c r="R25" s="2955" t="s">
        <v>1327</v>
      </c>
      <c r="S25" s="2955" t="s">
        <v>1327</v>
      </c>
      <c r="T25" s="2955" t="s">
        <v>1327</v>
      </c>
      <c r="U25" s="2955" t="s">
        <v>1327</v>
      </c>
      <c r="V25" s="2955" t="s">
        <v>1327</v>
      </c>
      <c r="W25" s="2955" t="s">
        <v>3226</v>
      </c>
      <c r="X25" s="2955" t="s">
        <v>3227</v>
      </c>
      <c r="Y25" s="2955" t="s">
        <v>3228</v>
      </c>
      <c r="Z25" s="2955" t="s">
        <v>3228</v>
      </c>
      <c r="AA25" s="2955" t="s">
        <v>3228</v>
      </c>
      <c r="AB25" s="2955" t="s">
        <v>3229</v>
      </c>
      <c r="AC25" s="2955" t="s">
        <v>3126</v>
      </c>
      <c r="AD25" s="2955" t="s">
        <v>3230</v>
      </c>
      <c r="AE25" s="2955">
        <v>383.83</v>
      </c>
      <c r="AF25" s="2955">
        <v>639.71</v>
      </c>
      <c r="AG25" s="2955">
        <v>640.26</v>
      </c>
      <c r="AH25" s="2955">
        <v>266.52999999999997</v>
      </c>
      <c r="AI25" s="2955">
        <v>266.76</v>
      </c>
      <c r="AJ25" s="2955">
        <v>1142.28</v>
      </c>
      <c r="AK25" s="2955">
        <v>1143.28</v>
      </c>
      <c r="AL25" s="2955" t="s">
        <v>1327</v>
      </c>
      <c r="AM25" s="2955" t="s">
        <v>1327</v>
      </c>
      <c r="AN25" s="2955">
        <v>0.09</v>
      </c>
      <c r="AO25" s="2955" t="s">
        <v>3128</v>
      </c>
      <c r="AP25" s="2955" t="s">
        <v>1327</v>
      </c>
      <c r="AQ25" s="2955" t="s">
        <v>1327</v>
      </c>
      <c r="AR25" s="2955" t="s">
        <v>1327</v>
      </c>
      <c r="AS25" s="2955" t="s">
        <v>3129</v>
      </c>
    </row>
    <row r="26" spans="1:45" s="2956" customFormat="1">
      <c r="A26" s="2956" t="s">
        <v>3231</v>
      </c>
      <c r="B26" s="2956" t="s">
        <v>3112</v>
      </c>
      <c r="C26" s="2956" t="s">
        <v>3113</v>
      </c>
      <c r="D26" s="2956" t="s">
        <v>3114</v>
      </c>
      <c r="E26" s="2956" t="s">
        <v>1327</v>
      </c>
      <c r="F26" s="2956" t="s">
        <v>3231</v>
      </c>
      <c r="G26" s="2956" t="s">
        <v>3200</v>
      </c>
      <c r="H26" s="2956">
        <v>4</v>
      </c>
      <c r="I26" s="2956" t="s">
        <v>3157</v>
      </c>
      <c r="J26" s="2956">
        <v>10506.36</v>
      </c>
      <c r="K26" s="2956">
        <v>21012.720000000001</v>
      </c>
      <c r="L26" s="2956" t="s">
        <v>3232</v>
      </c>
      <c r="M26" s="2956" t="s">
        <v>1327</v>
      </c>
      <c r="N26" s="2956" t="s">
        <v>3212</v>
      </c>
      <c r="O26" s="2956" t="s">
        <v>3233</v>
      </c>
      <c r="P26" s="2956" t="s">
        <v>1327</v>
      </c>
      <c r="Q26" s="2956" t="s">
        <v>1327</v>
      </c>
      <c r="R26" s="2956" t="s">
        <v>1327</v>
      </c>
      <c r="S26" s="2956" t="s">
        <v>1327</v>
      </c>
      <c r="T26" s="2956" t="s">
        <v>1327</v>
      </c>
      <c r="U26" s="2956" t="s">
        <v>1327</v>
      </c>
      <c r="V26" s="2956" t="s">
        <v>1327</v>
      </c>
      <c r="W26" s="2956" t="s">
        <v>3205</v>
      </c>
      <c r="X26" s="2956" t="s">
        <v>3234</v>
      </c>
      <c r="Y26" s="2956" t="s">
        <v>3235</v>
      </c>
      <c r="Z26" s="2956" t="s">
        <v>3235</v>
      </c>
      <c r="AA26" s="2956" t="s">
        <v>3235</v>
      </c>
      <c r="AB26" s="2956" t="s">
        <v>3236</v>
      </c>
      <c r="AC26" s="2956" t="s">
        <v>3126</v>
      </c>
      <c r="AD26" s="2956" t="s">
        <v>3237</v>
      </c>
      <c r="AE26" s="2956">
        <v>5831</v>
      </c>
      <c r="AF26" s="2956">
        <v>5831.02</v>
      </c>
      <c r="AG26" s="2956">
        <v>5832.07</v>
      </c>
      <c r="AH26" s="2956">
        <v>370</v>
      </c>
      <c r="AI26" s="2956">
        <v>370.07</v>
      </c>
      <c r="AJ26" s="2956">
        <v>2775</v>
      </c>
      <c r="AK26" s="2956">
        <v>2775.5</v>
      </c>
      <c r="AL26" s="2956" t="s">
        <v>1327</v>
      </c>
      <c r="AM26" s="2956" t="s">
        <v>1327</v>
      </c>
      <c r="AN26" s="2956">
        <v>0.02</v>
      </c>
      <c r="AO26" s="2956" t="s">
        <v>3128</v>
      </c>
      <c r="AP26" s="2956" t="s">
        <v>1327</v>
      </c>
      <c r="AQ26" s="2956" t="s">
        <v>1327</v>
      </c>
      <c r="AR26" s="2956" t="s">
        <v>1327</v>
      </c>
      <c r="AS26" s="2956" t="s">
        <v>3166</v>
      </c>
    </row>
    <row r="27" spans="1:45">
      <c r="A27" s="2955" t="s">
        <v>3238</v>
      </c>
      <c r="B27" s="2955" t="s">
        <v>3112</v>
      </c>
      <c r="C27" s="2955" t="s">
        <v>3113</v>
      </c>
      <c r="D27" s="2955" t="s">
        <v>3211</v>
      </c>
      <c r="E27" s="2955" t="s">
        <v>1327</v>
      </c>
      <c r="F27" s="2955" t="s">
        <v>3238</v>
      </c>
      <c r="G27" s="2955" t="s">
        <v>3200</v>
      </c>
      <c r="H27" s="2955">
        <v>2</v>
      </c>
      <c r="I27" s="2955" t="s">
        <v>3177</v>
      </c>
      <c r="J27" s="2955">
        <v>24413.47</v>
      </c>
      <c r="K27" s="2955">
        <v>26122.41</v>
      </c>
      <c r="L27" s="2955" t="s">
        <v>3239</v>
      </c>
      <c r="M27" s="2955" t="s">
        <v>1327</v>
      </c>
      <c r="N27" s="2955" t="s">
        <v>3240</v>
      </c>
      <c r="O27" s="2955" t="s">
        <v>3241</v>
      </c>
      <c r="P27" s="2955" t="s">
        <v>1327</v>
      </c>
      <c r="Q27" s="2955" t="s">
        <v>1327</v>
      </c>
      <c r="R27" s="2955" t="s">
        <v>1327</v>
      </c>
      <c r="S27" s="2955" t="s">
        <v>1327</v>
      </c>
      <c r="T27" s="2955" t="s">
        <v>1327</v>
      </c>
      <c r="U27" s="2955" t="s">
        <v>1327</v>
      </c>
      <c r="V27" s="2955" t="s">
        <v>1327</v>
      </c>
      <c r="W27" s="2955" t="s">
        <v>3205</v>
      </c>
      <c r="X27" s="2955" t="s">
        <v>3234</v>
      </c>
      <c r="Y27" s="2955" t="s">
        <v>3242</v>
      </c>
      <c r="Z27" s="2955" t="s">
        <v>3242</v>
      </c>
      <c r="AA27" s="2955" t="s">
        <v>3242</v>
      </c>
      <c r="AB27" s="2955" t="s">
        <v>3243</v>
      </c>
      <c r="AC27" s="2955" t="s">
        <v>3126</v>
      </c>
      <c r="AD27" s="2955" t="s">
        <v>3244</v>
      </c>
      <c r="AE27" s="2955">
        <v>3742.6</v>
      </c>
      <c r="AF27" s="2955">
        <v>3742.59</v>
      </c>
      <c r="AG27" s="2955">
        <v>3745.03</v>
      </c>
      <c r="AH27" s="2955">
        <v>102.2</v>
      </c>
      <c r="AI27" s="2955">
        <v>102.27</v>
      </c>
      <c r="AJ27" s="2955">
        <v>1432.71</v>
      </c>
      <c r="AK27" s="2955">
        <v>1433.65</v>
      </c>
      <c r="AL27" s="2955" t="s">
        <v>1327</v>
      </c>
      <c r="AM27" s="2955" t="s">
        <v>1327</v>
      </c>
      <c r="AN27" s="2955">
        <v>0.06</v>
      </c>
      <c r="AO27" s="2955" t="s">
        <v>3128</v>
      </c>
      <c r="AP27" s="2955" t="s">
        <v>1327</v>
      </c>
      <c r="AQ27" s="2955" t="s">
        <v>1327</v>
      </c>
      <c r="AR27" s="2955" t="s">
        <v>1327</v>
      </c>
      <c r="AS27" s="2955" t="s">
        <v>3138</v>
      </c>
    </row>
    <row r="28" spans="1:45" hidden="1">
      <c r="A28" s="2955" t="s">
        <v>3245</v>
      </c>
      <c r="B28" s="2955" t="s">
        <v>3112</v>
      </c>
      <c r="C28" s="2955" t="s">
        <v>3113</v>
      </c>
      <c r="D28" s="2955" t="s">
        <v>3199</v>
      </c>
      <c r="E28" s="2955" t="s">
        <v>1327</v>
      </c>
      <c r="F28" s="2955" t="s">
        <v>3245</v>
      </c>
      <c r="G28" s="2955" t="s">
        <v>3200</v>
      </c>
      <c r="H28" s="2955">
        <v>1</v>
      </c>
      <c r="I28" s="2955" t="s">
        <v>3157</v>
      </c>
      <c r="J28" s="2955">
        <v>13099.24</v>
      </c>
      <c r="K28" s="2955">
        <v>39297.72</v>
      </c>
      <c r="L28" s="2955" t="s">
        <v>3246</v>
      </c>
      <c r="M28" s="2955" t="s">
        <v>1327</v>
      </c>
      <c r="N28" s="2955" t="s">
        <v>3212</v>
      </c>
      <c r="O28" s="2955" t="s">
        <v>3204</v>
      </c>
      <c r="P28" s="2955" t="s">
        <v>1327</v>
      </c>
      <c r="Q28" s="2955" t="s">
        <v>1327</v>
      </c>
      <c r="R28" s="2955" t="s">
        <v>1327</v>
      </c>
      <c r="S28" s="2955" t="s">
        <v>1327</v>
      </c>
      <c r="T28" s="2955" t="s">
        <v>1327</v>
      </c>
      <c r="U28" s="2955" t="s">
        <v>1327</v>
      </c>
      <c r="V28" s="2955" t="s">
        <v>1327</v>
      </c>
      <c r="W28" s="2955" t="s">
        <v>3205</v>
      </c>
      <c r="X28" s="2955" t="s">
        <v>3247</v>
      </c>
      <c r="Y28" s="2955" t="s">
        <v>3248</v>
      </c>
      <c r="Z28" s="2955" t="s">
        <v>3248</v>
      </c>
      <c r="AA28" s="2955" t="s">
        <v>3248</v>
      </c>
      <c r="AB28" s="2955" t="s">
        <v>3249</v>
      </c>
      <c r="AC28" s="2955" t="s">
        <v>3126</v>
      </c>
      <c r="AD28" s="2955" t="s">
        <v>3250</v>
      </c>
      <c r="AE28" s="2955">
        <v>3637</v>
      </c>
      <c r="AF28" s="2955">
        <v>6060.1</v>
      </c>
      <c r="AG28" s="2955">
        <v>6061.4</v>
      </c>
      <c r="AH28" s="2955">
        <v>308.42</v>
      </c>
      <c r="AI28" s="2955">
        <v>308.49</v>
      </c>
      <c r="AJ28" s="2955">
        <v>1542.09</v>
      </c>
      <c r="AK28" s="2955">
        <v>1542.43</v>
      </c>
      <c r="AL28" s="2955" t="s">
        <v>1327</v>
      </c>
      <c r="AM28" s="2955" t="s">
        <v>1327</v>
      </c>
      <c r="AN28" s="2955">
        <v>0.02</v>
      </c>
      <c r="AO28" s="2955" t="s">
        <v>3128</v>
      </c>
      <c r="AP28" s="2955" t="s">
        <v>1327</v>
      </c>
      <c r="AQ28" s="2955" t="s">
        <v>1327</v>
      </c>
      <c r="AR28" s="2955" t="s">
        <v>1327</v>
      </c>
      <c r="AS28" s="2955" t="s">
        <v>3166</v>
      </c>
    </row>
    <row r="29" spans="1:45" hidden="1">
      <c r="A29" s="2955" t="s">
        <v>3251</v>
      </c>
      <c r="B29" s="2955" t="s">
        <v>3112</v>
      </c>
      <c r="C29" s="2955" t="s">
        <v>3113</v>
      </c>
      <c r="D29" s="2955" t="s">
        <v>3199</v>
      </c>
      <c r="E29" s="2955" t="s">
        <v>1327</v>
      </c>
      <c r="F29" s="2955" t="s">
        <v>3251</v>
      </c>
      <c r="G29" s="2955" t="s">
        <v>3200</v>
      </c>
      <c r="H29" s="2955">
        <v>31</v>
      </c>
      <c r="I29" s="2955" t="s">
        <v>3117</v>
      </c>
      <c r="J29" s="2955">
        <v>33568.449999999997</v>
      </c>
      <c r="K29" s="2955">
        <v>33568.449999999997</v>
      </c>
      <c r="L29" s="2955" t="s">
        <v>3131</v>
      </c>
      <c r="M29" s="2955" t="s">
        <v>1327</v>
      </c>
      <c r="N29" s="2955" t="s">
        <v>1327</v>
      </c>
      <c r="O29" s="2955" t="s">
        <v>1327</v>
      </c>
      <c r="P29" s="2955" t="s">
        <v>1327</v>
      </c>
      <c r="Q29" s="2955" t="s">
        <v>1327</v>
      </c>
      <c r="R29" s="2955" t="s">
        <v>1327</v>
      </c>
      <c r="S29" s="2955" t="s">
        <v>1327</v>
      </c>
      <c r="T29" s="2955" t="s">
        <v>1327</v>
      </c>
      <c r="U29" s="2955" t="s">
        <v>1327</v>
      </c>
      <c r="V29" s="2955" t="s">
        <v>1327</v>
      </c>
      <c r="W29" s="2955" t="s">
        <v>3226</v>
      </c>
      <c r="X29" s="2955" t="s">
        <v>3252</v>
      </c>
      <c r="Y29" s="2955" t="s">
        <v>3253</v>
      </c>
      <c r="Z29" s="2955" t="s">
        <v>3253</v>
      </c>
      <c r="AA29" s="2955" t="s">
        <v>3253</v>
      </c>
      <c r="AB29" s="2955" t="s">
        <v>3254</v>
      </c>
      <c r="AC29" s="2955" t="s">
        <v>3126</v>
      </c>
      <c r="AD29" s="2955" t="s">
        <v>3255</v>
      </c>
      <c r="AE29" s="2955">
        <v>5009.7700000000004</v>
      </c>
      <c r="AF29" s="2955">
        <v>5009.7700000000004</v>
      </c>
      <c r="AG29" s="2955">
        <v>5019.7700000000004</v>
      </c>
      <c r="AH29" s="2955">
        <v>99.49</v>
      </c>
      <c r="AI29" s="2955">
        <v>99.69</v>
      </c>
      <c r="AJ29" s="2955">
        <v>1492.4</v>
      </c>
      <c r="AK29" s="2955">
        <v>1495.38</v>
      </c>
      <c r="AL29" s="2955" t="s">
        <v>1327</v>
      </c>
      <c r="AM29" s="2955" t="s">
        <v>1327</v>
      </c>
      <c r="AN29" s="2955">
        <v>0.2</v>
      </c>
      <c r="AO29" s="2955" t="s">
        <v>3128</v>
      </c>
      <c r="AP29" s="2955" t="s">
        <v>1327</v>
      </c>
      <c r="AQ29" s="2955" t="s">
        <v>1327</v>
      </c>
      <c r="AR29" s="2955" t="s">
        <v>1327</v>
      </c>
      <c r="AS29" s="2955" t="s">
        <v>3166</v>
      </c>
    </row>
    <row r="30" spans="1:45" hidden="1">
      <c r="A30" s="2955" t="s">
        <v>3256</v>
      </c>
      <c r="B30" s="2955" t="s">
        <v>3112</v>
      </c>
      <c r="C30" s="2955" t="s">
        <v>3113</v>
      </c>
      <c r="D30" s="2955" t="s">
        <v>3257</v>
      </c>
      <c r="E30" s="2955" t="s">
        <v>1327</v>
      </c>
      <c r="F30" s="2955" t="s">
        <v>3256</v>
      </c>
      <c r="G30" s="2955" t="s">
        <v>3200</v>
      </c>
      <c r="H30" s="2955" t="s">
        <v>3258</v>
      </c>
      <c r="I30" s="2955" t="s">
        <v>3189</v>
      </c>
      <c r="J30" s="2955">
        <v>3491.53</v>
      </c>
      <c r="K30" s="2955">
        <v>2094.92</v>
      </c>
      <c r="L30" s="2955" t="s">
        <v>3259</v>
      </c>
      <c r="M30" s="2955" t="s">
        <v>1327</v>
      </c>
      <c r="N30" s="2955" t="s">
        <v>1327</v>
      </c>
      <c r="O30" s="2955" t="s">
        <v>1327</v>
      </c>
      <c r="P30" s="2955" t="s">
        <v>1327</v>
      </c>
      <c r="Q30" s="2955" t="s">
        <v>1327</v>
      </c>
      <c r="R30" s="2955" t="s">
        <v>1327</v>
      </c>
      <c r="S30" s="2955" t="s">
        <v>1327</v>
      </c>
      <c r="T30" s="2955" t="s">
        <v>1327</v>
      </c>
      <c r="U30" s="2955" t="s">
        <v>1327</v>
      </c>
      <c r="V30" s="2955" t="s">
        <v>1327</v>
      </c>
      <c r="W30" s="2955" t="s">
        <v>3226</v>
      </c>
      <c r="X30" s="2955" t="s">
        <v>3260</v>
      </c>
      <c r="Y30" s="2955" t="s">
        <v>3261</v>
      </c>
      <c r="Z30" s="2955" t="s">
        <v>3261</v>
      </c>
      <c r="AA30" s="2955" t="s">
        <v>3261</v>
      </c>
      <c r="AB30" s="2955" t="s">
        <v>3262</v>
      </c>
      <c r="AC30" s="2955" t="s">
        <v>3126</v>
      </c>
      <c r="AD30" s="2955" t="s">
        <v>3263</v>
      </c>
      <c r="AE30" s="2955">
        <v>2206.59</v>
      </c>
      <c r="AF30" s="2955">
        <v>485.64</v>
      </c>
      <c r="AG30" s="2955">
        <v>486</v>
      </c>
      <c r="AH30" s="2955">
        <v>92.73</v>
      </c>
      <c r="AI30" s="2955">
        <v>92.8</v>
      </c>
      <c r="AJ30" s="2955">
        <v>2318.2199999999998</v>
      </c>
      <c r="AK30" s="2955">
        <v>2319.9</v>
      </c>
      <c r="AL30" s="2955" t="s">
        <v>1327</v>
      </c>
      <c r="AM30" s="2955" t="s">
        <v>1327</v>
      </c>
      <c r="AN30" s="2955">
        <v>7.0000000000000007E-2</v>
      </c>
      <c r="AO30" s="2955" t="s">
        <v>3128</v>
      </c>
      <c r="AP30" s="2955" t="s">
        <v>1327</v>
      </c>
      <c r="AQ30" s="2955" t="s">
        <v>1327</v>
      </c>
      <c r="AR30" s="2955" t="s">
        <v>1327</v>
      </c>
      <c r="AS30" s="2955" t="s">
        <v>3129</v>
      </c>
    </row>
    <row r="31" spans="1:45" hidden="1">
      <c r="A31" s="2955" t="s">
        <v>3256</v>
      </c>
      <c r="B31" s="2955" t="s">
        <v>3112</v>
      </c>
      <c r="C31" s="2955" t="s">
        <v>3113</v>
      </c>
      <c r="D31" s="2955" t="s">
        <v>3257</v>
      </c>
      <c r="E31" s="2955" t="s">
        <v>1327</v>
      </c>
      <c r="F31" s="2955" t="s">
        <v>3256</v>
      </c>
      <c r="G31" s="2955" t="s">
        <v>3200</v>
      </c>
      <c r="H31" s="2955" t="s">
        <v>3264</v>
      </c>
      <c r="I31" s="2955" t="s">
        <v>3189</v>
      </c>
      <c r="J31" s="2955">
        <v>62083.39</v>
      </c>
      <c r="K31" s="2955">
        <v>37250.03</v>
      </c>
      <c r="L31" s="2955" t="s">
        <v>3259</v>
      </c>
      <c r="M31" s="2955" t="s">
        <v>1327</v>
      </c>
      <c r="N31" s="2955" t="s">
        <v>1327</v>
      </c>
      <c r="O31" s="2955" t="s">
        <v>1327</v>
      </c>
      <c r="P31" s="2955" t="s">
        <v>1327</v>
      </c>
      <c r="Q31" s="2955" t="s">
        <v>1327</v>
      </c>
      <c r="R31" s="2955" t="s">
        <v>1327</v>
      </c>
      <c r="S31" s="2955" t="s">
        <v>1327</v>
      </c>
      <c r="T31" s="2955" t="s">
        <v>1327</v>
      </c>
      <c r="U31" s="2955" t="s">
        <v>1327</v>
      </c>
      <c r="V31" s="2955" t="s">
        <v>1327</v>
      </c>
      <c r="W31" s="2955" t="s">
        <v>3226</v>
      </c>
      <c r="X31" s="2955" t="s">
        <v>3260</v>
      </c>
      <c r="Y31" s="2955" t="s">
        <v>3261</v>
      </c>
      <c r="Z31" s="2955" t="s">
        <v>3261</v>
      </c>
      <c r="AA31" s="2955" t="s">
        <v>3261</v>
      </c>
      <c r="AB31" s="2955" t="s">
        <v>3265</v>
      </c>
      <c r="AC31" s="2955" t="s">
        <v>3126</v>
      </c>
      <c r="AD31" s="2955" t="s">
        <v>3263</v>
      </c>
      <c r="AE31" s="2955">
        <v>8620.09</v>
      </c>
      <c r="AF31" s="2955">
        <v>8620.09</v>
      </c>
      <c r="AG31" s="2955">
        <v>8626.2900000000009</v>
      </c>
      <c r="AH31" s="2955">
        <v>92.56</v>
      </c>
      <c r="AI31" s="2955">
        <v>92.63</v>
      </c>
      <c r="AJ31" s="2955">
        <v>2314.11</v>
      </c>
      <c r="AK31" s="2955">
        <v>2315.7800000000002</v>
      </c>
      <c r="AL31" s="2955" t="s">
        <v>1327</v>
      </c>
      <c r="AM31" s="2955" t="s">
        <v>1327</v>
      </c>
      <c r="AN31" s="2955">
        <v>7.0000000000000007E-2</v>
      </c>
      <c r="AO31" s="2955" t="s">
        <v>3128</v>
      </c>
      <c r="AP31" s="2955" t="s">
        <v>1327</v>
      </c>
      <c r="AQ31" s="2955" t="s">
        <v>1327</v>
      </c>
      <c r="AR31" s="2955" t="s">
        <v>1327</v>
      </c>
      <c r="AS31" s="2955" t="s">
        <v>3129</v>
      </c>
    </row>
    <row r="32" spans="1:45" hidden="1">
      <c r="A32" s="2955" t="s">
        <v>3266</v>
      </c>
      <c r="B32" s="2955" t="s">
        <v>3112</v>
      </c>
      <c r="C32" s="2955" t="s">
        <v>3113</v>
      </c>
      <c r="D32" s="2955" t="s">
        <v>3114</v>
      </c>
      <c r="E32" s="2955" t="s">
        <v>1327</v>
      </c>
      <c r="F32" s="2955" t="s">
        <v>3266</v>
      </c>
      <c r="G32" s="2955" t="s">
        <v>3200</v>
      </c>
      <c r="H32" s="2955" t="s">
        <v>3267</v>
      </c>
      <c r="I32" s="2955" t="s">
        <v>3268</v>
      </c>
      <c r="J32" s="2955">
        <v>46186.09</v>
      </c>
      <c r="K32" s="2955">
        <v>50804.7</v>
      </c>
      <c r="L32" s="2955" t="s">
        <v>3269</v>
      </c>
      <c r="M32" s="2955" t="s">
        <v>1327</v>
      </c>
      <c r="N32" s="2955" t="s">
        <v>1327</v>
      </c>
      <c r="O32" s="2955" t="s">
        <v>1327</v>
      </c>
      <c r="P32" s="2955" t="s">
        <v>1327</v>
      </c>
      <c r="Q32" s="2955" t="s">
        <v>1327</v>
      </c>
      <c r="R32" s="2955" t="s">
        <v>1327</v>
      </c>
      <c r="S32" s="2955" t="s">
        <v>1327</v>
      </c>
      <c r="T32" s="2955" t="s">
        <v>1327</v>
      </c>
      <c r="U32" s="2955" t="s">
        <v>1327</v>
      </c>
      <c r="V32" s="2955" t="s">
        <v>1327</v>
      </c>
      <c r="W32" s="2955" t="s">
        <v>3226</v>
      </c>
      <c r="X32" s="2955" t="s">
        <v>3270</v>
      </c>
      <c r="Y32" s="2955" t="s">
        <v>3271</v>
      </c>
      <c r="Z32" s="2955" t="s">
        <v>3271</v>
      </c>
      <c r="AA32" s="2955" t="s">
        <v>3271</v>
      </c>
      <c r="AB32" s="2955" t="s">
        <v>3272</v>
      </c>
      <c r="AC32" s="2955" t="s">
        <v>3126</v>
      </c>
      <c r="AD32" s="2955" t="s">
        <v>3273</v>
      </c>
      <c r="AE32" s="2955">
        <v>7288.17</v>
      </c>
      <c r="AF32" s="2955">
        <v>7288.17</v>
      </c>
      <c r="AG32" s="2955">
        <v>7292.78</v>
      </c>
      <c r="AH32" s="2955">
        <v>105.2</v>
      </c>
      <c r="AI32" s="2955">
        <v>105.27</v>
      </c>
      <c r="AJ32" s="2955">
        <v>1434.54</v>
      </c>
      <c r="AK32" s="2955">
        <v>1435.46</v>
      </c>
      <c r="AL32" s="2955" t="s">
        <v>1327</v>
      </c>
      <c r="AM32" s="2955" t="s">
        <v>1327</v>
      </c>
      <c r="AN32" s="2955">
        <v>0.06</v>
      </c>
      <c r="AO32" s="2955" t="s">
        <v>3128</v>
      </c>
      <c r="AP32" s="2955" t="s">
        <v>1327</v>
      </c>
      <c r="AQ32" s="2955" t="s">
        <v>1327</v>
      </c>
      <c r="AR32" s="2955" t="s">
        <v>1327</v>
      </c>
      <c r="AS32" s="2955" t="s">
        <v>3138</v>
      </c>
    </row>
    <row r="33" spans="1:45" hidden="1">
      <c r="A33" s="2955" t="s">
        <v>3266</v>
      </c>
      <c r="B33" s="2955" t="s">
        <v>3112</v>
      </c>
      <c r="C33" s="2955" t="s">
        <v>3113</v>
      </c>
      <c r="D33" s="2955" t="s">
        <v>3114</v>
      </c>
      <c r="E33" s="2955" t="s">
        <v>1327</v>
      </c>
      <c r="F33" s="2955" t="s">
        <v>3266</v>
      </c>
      <c r="G33" s="2955" t="s">
        <v>3200</v>
      </c>
      <c r="H33" s="2955" t="s">
        <v>3274</v>
      </c>
      <c r="I33" s="2955" t="s">
        <v>3268</v>
      </c>
      <c r="J33" s="2955">
        <v>10929.27</v>
      </c>
      <c r="K33" s="2955">
        <v>12568.66</v>
      </c>
      <c r="L33" s="2955" t="s">
        <v>3275</v>
      </c>
      <c r="M33" s="2955" t="s">
        <v>1327</v>
      </c>
      <c r="N33" s="2955" t="s">
        <v>1327</v>
      </c>
      <c r="O33" s="2955" t="s">
        <v>1327</v>
      </c>
      <c r="P33" s="2955" t="s">
        <v>1327</v>
      </c>
      <c r="Q33" s="2955" t="s">
        <v>1327</v>
      </c>
      <c r="R33" s="2955" t="s">
        <v>1327</v>
      </c>
      <c r="S33" s="2955" t="s">
        <v>1327</v>
      </c>
      <c r="T33" s="2955" t="s">
        <v>1327</v>
      </c>
      <c r="U33" s="2955" t="s">
        <v>1327</v>
      </c>
      <c r="V33" s="2955" t="s">
        <v>1327</v>
      </c>
      <c r="W33" s="2955" t="s">
        <v>3226</v>
      </c>
      <c r="X33" s="2955" t="s">
        <v>3270</v>
      </c>
      <c r="Y33" s="2955" t="s">
        <v>3271</v>
      </c>
      <c r="Z33" s="2955" t="s">
        <v>3271</v>
      </c>
      <c r="AA33" s="2955" t="s">
        <v>3271</v>
      </c>
      <c r="AB33" s="2955" t="s">
        <v>3276</v>
      </c>
      <c r="AC33" s="2955" t="s">
        <v>3126</v>
      </c>
      <c r="AD33" s="2955" t="s">
        <v>3273</v>
      </c>
      <c r="AE33" s="2955">
        <v>1750.87</v>
      </c>
      <c r="AF33" s="2955">
        <v>1750.86</v>
      </c>
      <c r="AG33" s="2955">
        <v>1751.96</v>
      </c>
      <c r="AH33" s="2955">
        <v>106.8</v>
      </c>
      <c r="AI33" s="2955">
        <v>106.87</v>
      </c>
      <c r="AJ33" s="2955">
        <v>1393.04</v>
      </c>
      <c r="AK33" s="2955">
        <v>1393.91</v>
      </c>
      <c r="AL33" s="2955" t="s">
        <v>1327</v>
      </c>
      <c r="AM33" s="2955" t="s">
        <v>1327</v>
      </c>
      <c r="AN33" s="2955">
        <v>0.06</v>
      </c>
      <c r="AO33" s="2955" t="s">
        <v>3128</v>
      </c>
      <c r="AP33" s="2955" t="s">
        <v>1327</v>
      </c>
      <c r="AQ33" s="2955" t="s">
        <v>1327</v>
      </c>
      <c r="AR33" s="2955" t="s">
        <v>1327</v>
      </c>
      <c r="AS33" s="2955" t="s">
        <v>3129</v>
      </c>
    </row>
    <row r="34" spans="1:45" hidden="1">
      <c r="A34" s="2955" t="s">
        <v>3266</v>
      </c>
      <c r="B34" s="2955" t="s">
        <v>3112</v>
      </c>
      <c r="C34" s="2955" t="s">
        <v>3113</v>
      </c>
      <c r="D34" s="2955" t="s">
        <v>3114</v>
      </c>
      <c r="E34" s="2955" t="s">
        <v>1327</v>
      </c>
      <c r="F34" s="2955" t="s">
        <v>3266</v>
      </c>
      <c r="G34" s="2955" t="s">
        <v>3200</v>
      </c>
      <c r="H34" s="2955" t="s">
        <v>3277</v>
      </c>
      <c r="I34" s="2955" t="s">
        <v>3268</v>
      </c>
      <c r="J34" s="2955">
        <v>1338.19</v>
      </c>
      <c r="K34" s="2955">
        <v>1472.01</v>
      </c>
      <c r="L34" s="2955" t="s">
        <v>3269</v>
      </c>
      <c r="M34" s="2955" t="s">
        <v>1327</v>
      </c>
      <c r="N34" s="2955" t="s">
        <v>1327</v>
      </c>
      <c r="O34" s="2955" t="s">
        <v>1327</v>
      </c>
      <c r="P34" s="2955" t="s">
        <v>1327</v>
      </c>
      <c r="Q34" s="2955" t="s">
        <v>1327</v>
      </c>
      <c r="R34" s="2955" t="s">
        <v>1327</v>
      </c>
      <c r="S34" s="2955" t="s">
        <v>1327</v>
      </c>
      <c r="T34" s="2955" t="s">
        <v>1327</v>
      </c>
      <c r="U34" s="2955" t="s">
        <v>1327</v>
      </c>
      <c r="V34" s="2955" t="s">
        <v>1327</v>
      </c>
      <c r="W34" s="2955" t="s">
        <v>3226</v>
      </c>
      <c r="X34" s="2955" t="s">
        <v>3270</v>
      </c>
      <c r="Y34" s="2955" t="s">
        <v>3271</v>
      </c>
      <c r="Z34" s="2955" t="s">
        <v>3271</v>
      </c>
      <c r="AA34" s="2955" t="s">
        <v>3271</v>
      </c>
      <c r="AB34" s="2955" t="s">
        <v>3278</v>
      </c>
      <c r="AC34" s="2955" t="s">
        <v>3126</v>
      </c>
      <c r="AD34" s="2955" t="s">
        <v>3273</v>
      </c>
      <c r="AE34" s="2955">
        <v>345.52</v>
      </c>
      <c r="AF34" s="2955">
        <v>345.51</v>
      </c>
      <c r="AG34" s="2955">
        <v>345.64</v>
      </c>
      <c r="AH34" s="2955">
        <v>172.13</v>
      </c>
      <c r="AI34" s="2955">
        <v>172.19</v>
      </c>
      <c r="AJ34" s="2955">
        <v>2347.2600000000002</v>
      </c>
      <c r="AK34" s="2955">
        <v>2348.15</v>
      </c>
      <c r="AL34" s="2955" t="s">
        <v>1327</v>
      </c>
      <c r="AM34" s="2955" t="s">
        <v>1327</v>
      </c>
      <c r="AN34" s="2955">
        <v>0.04</v>
      </c>
      <c r="AO34" s="2955" t="s">
        <v>3128</v>
      </c>
      <c r="AP34" s="2955" t="s">
        <v>1327</v>
      </c>
      <c r="AQ34" s="2955" t="s">
        <v>1327</v>
      </c>
      <c r="AR34" s="2955" t="s">
        <v>1327</v>
      </c>
      <c r="AS34" s="2955" t="s">
        <v>3138</v>
      </c>
    </row>
    <row r="35" spans="1:45" hidden="1">
      <c r="A35" s="2955" t="s">
        <v>3279</v>
      </c>
      <c r="B35" s="2955" t="s">
        <v>3112</v>
      </c>
      <c r="C35" s="2955" t="s">
        <v>3113</v>
      </c>
      <c r="D35" s="2955" t="s">
        <v>3114</v>
      </c>
      <c r="E35" s="2955" t="s">
        <v>1327</v>
      </c>
      <c r="F35" s="2955" t="s">
        <v>3279</v>
      </c>
      <c r="G35" s="2955" t="s">
        <v>3200</v>
      </c>
      <c r="H35" s="2955">
        <v>24</v>
      </c>
      <c r="I35" s="2955" t="s">
        <v>3280</v>
      </c>
      <c r="J35" s="2955">
        <v>13472.87</v>
      </c>
      <c r="K35" s="2955">
        <v>50792.72</v>
      </c>
      <c r="L35" s="2955" t="s">
        <v>3281</v>
      </c>
      <c r="M35" s="2955" t="s">
        <v>1327</v>
      </c>
      <c r="N35" s="2955" t="s">
        <v>3282</v>
      </c>
      <c r="O35" s="2955" t="s">
        <v>3283</v>
      </c>
      <c r="P35" s="2955" t="s">
        <v>1327</v>
      </c>
      <c r="Q35" s="2955" t="s">
        <v>1327</v>
      </c>
      <c r="R35" s="2955" t="s">
        <v>1327</v>
      </c>
      <c r="S35" s="2955" t="s">
        <v>1327</v>
      </c>
      <c r="T35" s="2955" t="s">
        <v>1327</v>
      </c>
      <c r="U35" s="2955" t="s">
        <v>1327</v>
      </c>
      <c r="V35" s="2955" t="s">
        <v>1327</v>
      </c>
      <c r="W35" s="2955" t="s">
        <v>3226</v>
      </c>
      <c r="X35" s="2955" t="s">
        <v>3284</v>
      </c>
      <c r="Y35" s="2955" t="s">
        <v>3285</v>
      </c>
      <c r="Z35" s="2955" t="s">
        <v>3285</v>
      </c>
      <c r="AA35" s="2955" t="s">
        <v>3285</v>
      </c>
      <c r="AB35" s="2955" t="s">
        <v>3286</v>
      </c>
      <c r="AC35" s="2955" t="s">
        <v>3126</v>
      </c>
      <c r="AD35" s="2955" t="s">
        <v>3287</v>
      </c>
      <c r="AE35" s="2955">
        <v>6053.37</v>
      </c>
      <c r="AF35" s="2955">
        <v>6053.36</v>
      </c>
      <c r="AG35" s="2955">
        <v>6103.36</v>
      </c>
      <c r="AH35" s="2955">
        <v>299.52999999999997</v>
      </c>
      <c r="AI35" s="2955">
        <v>302.01</v>
      </c>
      <c r="AJ35" s="2955">
        <v>1191.77</v>
      </c>
      <c r="AK35" s="2955">
        <v>1201.6099999999999</v>
      </c>
      <c r="AL35" s="2955" t="s">
        <v>1327</v>
      </c>
      <c r="AM35" s="2955" t="s">
        <v>1327</v>
      </c>
      <c r="AN35" s="2955">
        <v>0.83</v>
      </c>
      <c r="AO35" s="2955" t="s">
        <v>3288</v>
      </c>
      <c r="AP35" s="2955" t="s">
        <v>1327</v>
      </c>
      <c r="AQ35" s="2955" t="s">
        <v>1327</v>
      </c>
      <c r="AR35" s="2955" t="s">
        <v>1327</v>
      </c>
      <c r="AS35" s="2955" t="s">
        <v>3129</v>
      </c>
    </row>
    <row r="36" spans="1:45" hidden="1">
      <c r="A36" s="2955" t="s">
        <v>3289</v>
      </c>
      <c r="B36" s="2955" t="s">
        <v>3112</v>
      </c>
      <c r="C36" s="2955" t="s">
        <v>3113</v>
      </c>
      <c r="D36" s="2955" t="s">
        <v>3114</v>
      </c>
      <c r="E36" s="2955" t="s">
        <v>1327</v>
      </c>
      <c r="F36" s="2955" t="s">
        <v>3289</v>
      </c>
      <c r="G36" s="2955" t="s">
        <v>3115</v>
      </c>
      <c r="H36" s="2955">
        <v>23</v>
      </c>
      <c r="I36" s="2955" t="s">
        <v>3117</v>
      </c>
      <c r="J36" s="2955">
        <v>2532.7600000000002</v>
      </c>
      <c r="K36" s="2955">
        <v>2244.0300000000002</v>
      </c>
      <c r="L36" s="2955">
        <v>0.88600000000000001</v>
      </c>
      <c r="M36" s="2955" t="s">
        <v>1327</v>
      </c>
      <c r="N36" s="2955">
        <v>38</v>
      </c>
      <c r="O36" s="2955" t="s">
        <v>1327</v>
      </c>
      <c r="P36" s="2955" t="s">
        <v>1327</v>
      </c>
      <c r="Q36" s="2955" t="s">
        <v>1327</v>
      </c>
      <c r="R36" s="2955" t="s">
        <v>1327</v>
      </c>
      <c r="S36" s="2955" t="s">
        <v>1327</v>
      </c>
      <c r="T36" s="2955" t="s">
        <v>1327</v>
      </c>
      <c r="U36" s="2955" t="s">
        <v>1327</v>
      </c>
      <c r="V36" s="2955" t="s">
        <v>1327</v>
      </c>
      <c r="W36" s="2955" t="s">
        <v>3226</v>
      </c>
      <c r="X36" s="2955" t="s">
        <v>3290</v>
      </c>
      <c r="Y36" s="2955" t="s">
        <v>3291</v>
      </c>
      <c r="Z36" s="2955" t="s">
        <v>3292</v>
      </c>
      <c r="AA36" s="2955" t="s">
        <v>3292</v>
      </c>
      <c r="AB36" s="2955" t="s">
        <v>3293</v>
      </c>
      <c r="AC36" s="2955" t="s">
        <v>3126</v>
      </c>
      <c r="AD36" s="2955" t="s">
        <v>3294</v>
      </c>
      <c r="AE36" s="2955">
        <v>1346.35</v>
      </c>
      <c r="AF36" s="2955">
        <v>1346.42</v>
      </c>
      <c r="AG36" s="2955">
        <v>1346.67</v>
      </c>
      <c r="AH36" s="2955">
        <v>354.4</v>
      </c>
      <c r="AI36" s="2955">
        <v>354.47</v>
      </c>
      <c r="AJ36" s="2955">
        <v>6000</v>
      </c>
      <c r="AK36" s="2955">
        <v>6001.11</v>
      </c>
      <c r="AL36" s="2955" t="s">
        <v>1327</v>
      </c>
      <c r="AM36" s="2955" t="s">
        <v>1327</v>
      </c>
      <c r="AN36" s="2955">
        <v>0.02</v>
      </c>
      <c r="AO36" s="2955" t="s">
        <v>3128</v>
      </c>
      <c r="AP36" s="2955" t="s">
        <v>1327</v>
      </c>
      <c r="AQ36" s="2955" t="s">
        <v>1327</v>
      </c>
      <c r="AR36" s="2955" t="s">
        <v>1327</v>
      </c>
      <c r="AS36" s="2955" t="s">
        <v>3166</v>
      </c>
    </row>
    <row r="37" spans="1:45" hidden="1">
      <c r="A37" s="2955" t="s">
        <v>3295</v>
      </c>
      <c r="B37" s="2955" t="s">
        <v>3112</v>
      </c>
      <c r="C37" s="2955" t="s">
        <v>3113</v>
      </c>
      <c r="D37" s="2955" t="s">
        <v>3211</v>
      </c>
      <c r="E37" s="2955" t="s">
        <v>1327</v>
      </c>
      <c r="F37" s="2955" t="s">
        <v>3295</v>
      </c>
      <c r="G37" s="2955" t="s">
        <v>3200</v>
      </c>
      <c r="H37" s="2955">
        <v>6</v>
      </c>
      <c r="I37" s="2955" t="s">
        <v>3177</v>
      </c>
      <c r="J37" s="2955">
        <v>329.33</v>
      </c>
      <c r="K37" s="2955">
        <v>329.33</v>
      </c>
      <c r="L37" s="2955" t="s">
        <v>3131</v>
      </c>
      <c r="M37" s="2955" t="s">
        <v>1327</v>
      </c>
      <c r="N37" s="2955" t="s">
        <v>3212</v>
      </c>
      <c r="O37" s="2955" t="s">
        <v>3296</v>
      </c>
      <c r="P37" s="2955" t="s">
        <v>1327</v>
      </c>
      <c r="Q37" s="2955" t="s">
        <v>1327</v>
      </c>
      <c r="R37" s="2955" t="s">
        <v>1327</v>
      </c>
      <c r="S37" s="2955" t="s">
        <v>1327</v>
      </c>
      <c r="T37" s="2955" t="s">
        <v>1327</v>
      </c>
      <c r="U37" s="2955" t="s">
        <v>1327</v>
      </c>
      <c r="V37" s="2955" t="s">
        <v>1327</v>
      </c>
      <c r="W37" s="2955" t="s">
        <v>3226</v>
      </c>
      <c r="X37" s="2955" t="s">
        <v>3297</v>
      </c>
      <c r="Y37" s="2955" t="s">
        <v>3298</v>
      </c>
      <c r="Z37" s="2955" t="s">
        <v>3298</v>
      </c>
      <c r="AA37" s="2955" t="s">
        <v>3298</v>
      </c>
      <c r="AB37" s="2955" t="s">
        <v>3299</v>
      </c>
      <c r="AC37" s="2955" t="s">
        <v>3126</v>
      </c>
      <c r="AD37" s="2955" t="s">
        <v>3295</v>
      </c>
      <c r="AE37" s="2955">
        <v>120.39</v>
      </c>
      <c r="AF37" s="2955">
        <v>120.39</v>
      </c>
      <c r="AG37" s="2955">
        <v>120.42</v>
      </c>
      <c r="AH37" s="2955">
        <v>243.71</v>
      </c>
      <c r="AI37" s="2955">
        <v>243.77</v>
      </c>
      <c r="AJ37" s="2955">
        <v>3655.6</v>
      </c>
      <c r="AK37" s="2955">
        <v>3656.51</v>
      </c>
      <c r="AL37" s="2955" t="s">
        <v>1327</v>
      </c>
      <c r="AM37" s="2955" t="s">
        <v>1327</v>
      </c>
      <c r="AN37" s="2955">
        <v>0.02</v>
      </c>
      <c r="AO37" s="2955" t="s">
        <v>3128</v>
      </c>
      <c r="AP37" s="2955" t="s">
        <v>1327</v>
      </c>
      <c r="AQ37" s="2955" t="s">
        <v>1327</v>
      </c>
      <c r="AR37" s="2955" t="s">
        <v>1327</v>
      </c>
      <c r="AS37" s="2955" t="s">
        <v>3129</v>
      </c>
    </row>
    <row r="38" spans="1:45" hidden="1">
      <c r="A38" s="2955" t="s">
        <v>3295</v>
      </c>
      <c r="B38" s="2955" t="s">
        <v>3112</v>
      </c>
      <c r="C38" s="2955" t="s">
        <v>3113</v>
      </c>
      <c r="D38" s="2955" t="s">
        <v>3211</v>
      </c>
      <c r="E38" s="2955" t="s">
        <v>1327</v>
      </c>
      <c r="F38" s="2955" t="s">
        <v>3295</v>
      </c>
      <c r="G38" s="2955" t="s">
        <v>3200</v>
      </c>
      <c r="H38" s="2955">
        <v>5</v>
      </c>
      <c r="I38" s="2955" t="s">
        <v>3177</v>
      </c>
      <c r="J38" s="2955">
        <v>980.94</v>
      </c>
      <c r="K38" s="2955">
        <v>980.94</v>
      </c>
      <c r="L38" s="2955" t="s">
        <v>3131</v>
      </c>
      <c r="M38" s="2955" t="s">
        <v>1327</v>
      </c>
      <c r="N38" s="2955" t="s">
        <v>3212</v>
      </c>
      <c r="O38" s="2955" t="s">
        <v>3296</v>
      </c>
      <c r="P38" s="2955" t="s">
        <v>1327</v>
      </c>
      <c r="Q38" s="2955" t="s">
        <v>1327</v>
      </c>
      <c r="R38" s="2955" t="s">
        <v>1327</v>
      </c>
      <c r="S38" s="2955" t="s">
        <v>1327</v>
      </c>
      <c r="T38" s="2955" t="s">
        <v>1327</v>
      </c>
      <c r="U38" s="2955" t="s">
        <v>1327</v>
      </c>
      <c r="V38" s="2955" t="s">
        <v>1327</v>
      </c>
      <c r="W38" s="2955" t="s">
        <v>3226</v>
      </c>
      <c r="X38" s="2955" t="s">
        <v>3297</v>
      </c>
      <c r="Y38" s="2955" t="s">
        <v>3298</v>
      </c>
      <c r="Z38" s="2955" t="s">
        <v>3298</v>
      </c>
      <c r="AA38" s="2955" t="s">
        <v>3298</v>
      </c>
      <c r="AB38" s="2955" t="s">
        <v>3300</v>
      </c>
      <c r="AC38" s="2955" t="s">
        <v>3126</v>
      </c>
      <c r="AD38" s="2955" t="s">
        <v>3301</v>
      </c>
      <c r="AE38" s="2955">
        <v>358.6</v>
      </c>
      <c r="AF38" s="2955">
        <v>358.6</v>
      </c>
      <c r="AG38" s="2955">
        <v>358.69</v>
      </c>
      <c r="AH38" s="2955">
        <v>243.71</v>
      </c>
      <c r="AI38" s="2955">
        <v>243.77</v>
      </c>
      <c r="AJ38" s="2955">
        <v>3655.67</v>
      </c>
      <c r="AK38" s="2955">
        <v>3656.69</v>
      </c>
      <c r="AL38" s="2955" t="s">
        <v>1327</v>
      </c>
      <c r="AM38" s="2955" t="s">
        <v>1327</v>
      </c>
      <c r="AN38" s="2955">
        <v>0.03</v>
      </c>
      <c r="AO38" s="2955" t="s">
        <v>3128</v>
      </c>
      <c r="AP38" s="2955" t="s">
        <v>1327</v>
      </c>
      <c r="AQ38" s="2955" t="s">
        <v>1327</v>
      </c>
      <c r="AR38" s="2955" t="s">
        <v>1327</v>
      </c>
      <c r="AS38" s="2955" t="s">
        <v>3166</v>
      </c>
    </row>
    <row r="39" spans="1:45" hidden="1">
      <c r="A39" s="2955" t="s">
        <v>3295</v>
      </c>
      <c r="B39" s="2955" t="s">
        <v>3112</v>
      </c>
      <c r="C39" s="2955" t="s">
        <v>3113</v>
      </c>
      <c r="D39" s="2955" t="s">
        <v>3211</v>
      </c>
      <c r="E39" s="2955" t="s">
        <v>1327</v>
      </c>
      <c r="F39" s="2955" t="s">
        <v>3295</v>
      </c>
      <c r="G39" s="2955" t="s">
        <v>3200</v>
      </c>
      <c r="H39" s="2955">
        <v>4</v>
      </c>
      <c r="I39" s="2955" t="s">
        <v>3177</v>
      </c>
      <c r="J39" s="2955">
        <v>1164.81</v>
      </c>
      <c r="K39" s="2955">
        <v>1164.81</v>
      </c>
      <c r="L39" s="2955" t="s">
        <v>3131</v>
      </c>
      <c r="M39" s="2955" t="s">
        <v>1327</v>
      </c>
      <c r="N39" s="2955" t="s">
        <v>3212</v>
      </c>
      <c r="O39" s="2955" t="s">
        <v>3296</v>
      </c>
      <c r="P39" s="2955" t="s">
        <v>1327</v>
      </c>
      <c r="Q39" s="2955" t="s">
        <v>1327</v>
      </c>
      <c r="R39" s="2955" t="s">
        <v>1327</v>
      </c>
      <c r="S39" s="2955" t="s">
        <v>1327</v>
      </c>
      <c r="T39" s="2955" t="s">
        <v>1327</v>
      </c>
      <c r="U39" s="2955" t="s">
        <v>1327</v>
      </c>
      <c r="V39" s="2955" t="s">
        <v>1327</v>
      </c>
      <c r="W39" s="2955" t="s">
        <v>3226</v>
      </c>
      <c r="X39" s="2955" t="s">
        <v>3297</v>
      </c>
      <c r="Y39" s="2955" t="s">
        <v>3298</v>
      </c>
      <c r="Z39" s="2955" t="s">
        <v>3298</v>
      </c>
      <c r="AA39" s="2955" t="s">
        <v>3298</v>
      </c>
      <c r="AB39" s="2955" t="s">
        <v>3302</v>
      </c>
      <c r="AC39" s="2955" t="s">
        <v>3126</v>
      </c>
      <c r="AD39" s="2955" t="s">
        <v>3301</v>
      </c>
      <c r="AE39" s="2955">
        <v>425.81</v>
      </c>
      <c r="AF39" s="2955">
        <v>425.81</v>
      </c>
      <c r="AG39" s="2955">
        <v>425.93</v>
      </c>
      <c r="AH39" s="2955">
        <v>243.71</v>
      </c>
      <c r="AI39" s="2955">
        <v>243.78</v>
      </c>
      <c r="AJ39" s="2955">
        <v>3655.61</v>
      </c>
      <c r="AK39" s="2955">
        <v>3656.65</v>
      </c>
      <c r="AL39" s="2955" t="s">
        <v>1327</v>
      </c>
      <c r="AM39" s="2955" t="s">
        <v>1327</v>
      </c>
      <c r="AN39" s="2955">
        <v>0.03</v>
      </c>
      <c r="AO39" s="2955" t="s">
        <v>3128</v>
      </c>
      <c r="AP39" s="2955" t="s">
        <v>1327</v>
      </c>
      <c r="AQ39" s="2955" t="s">
        <v>1327</v>
      </c>
      <c r="AR39" s="2955" t="s">
        <v>1327</v>
      </c>
      <c r="AS39" s="2955" t="s">
        <v>3166</v>
      </c>
    </row>
    <row r="40" spans="1:45" hidden="1">
      <c r="A40" s="2955" t="s">
        <v>3303</v>
      </c>
      <c r="B40" s="2955" t="s">
        <v>3112</v>
      </c>
      <c r="C40" s="2955" t="s">
        <v>3113</v>
      </c>
      <c r="D40" s="2955" t="s">
        <v>3114</v>
      </c>
      <c r="E40" s="2955" t="s">
        <v>1327</v>
      </c>
      <c r="F40" s="2955" t="s">
        <v>3303</v>
      </c>
      <c r="G40" s="2955" t="s">
        <v>3200</v>
      </c>
      <c r="H40" s="2955" t="s">
        <v>3145</v>
      </c>
      <c r="I40" s="2955" t="s">
        <v>3177</v>
      </c>
      <c r="J40" s="2955">
        <v>35223.49</v>
      </c>
      <c r="K40" s="2955">
        <v>52835.24</v>
      </c>
      <c r="L40" s="2955" t="s">
        <v>3304</v>
      </c>
      <c r="M40" s="2955" t="s">
        <v>1327</v>
      </c>
      <c r="N40" s="2955" t="s">
        <v>3305</v>
      </c>
      <c r="O40" s="2955" t="s">
        <v>3306</v>
      </c>
      <c r="P40" s="2955" t="s">
        <v>1327</v>
      </c>
      <c r="Q40" s="2955" t="s">
        <v>1327</v>
      </c>
      <c r="R40" s="2955" t="s">
        <v>1327</v>
      </c>
      <c r="S40" s="2955" t="s">
        <v>1327</v>
      </c>
      <c r="T40" s="2955" t="s">
        <v>1327</v>
      </c>
      <c r="U40" s="2955" t="s">
        <v>1327</v>
      </c>
      <c r="V40" s="2955" t="s">
        <v>1327</v>
      </c>
      <c r="W40" s="2955" t="s">
        <v>3226</v>
      </c>
      <c r="X40" s="2955" t="s">
        <v>3307</v>
      </c>
      <c r="Y40" s="2955" t="s">
        <v>3308</v>
      </c>
      <c r="Z40" s="2955" t="s">
        <v>3308</v>
      </c>
      <c r="AA40" s="2955" t="s">
        <v>3308</v>
      </c>
      <c r="AB40" s="2955" t="s">
        <v>3309</v>
      </c>
      <c r="AC40" s="2955" t="s">
        <v>3126</v>
      </c>
      <c r="AD40" s="2955" t="s">
        <v>3310</v>
      </c>
      <c r="AE40" s="2955">
        <v>18756.509999999998</v>
      </c>
      <c r="AF40" s="2955">
        <v>18756.5</v>
      </c>
      <c r="AG40" s="2955">
        <v>18760.02</v>
      </c>
      <c r="AH40" s="2955">
        <v>355</v>
      </c>
      <c r="AI40" s="2955">
        <v>355.07</v>
      </c>
      <c r="AJ40" s="2955">
        <v>3550</v>
      </c>
      <c r="AK40" s="2955">
        <v>3550.67</v>
      </c>
      <c r="AL40" s="2955" t="s">
        <v>1327</v>
      </c>
      <c r="AM40" s="2955" t="s">
        <v>1327</v>
      </c>
      <c r="AN40" s="2955">
        <v>0.02</v>
      </c>
      <c r="AO40" s="2955" t="s">
        <v>3128</v>
      </c>
      <c r="AP40" s="2955" t="s">
        <v>1327</v>
      </c>
      <c r="AQ40" s="2955" t="s">
        <v>1327</v>
      </c>
      <c r="AR40" s="2955" t="s">
        <v>1327</v>
      </c>
      <c r="AS40" s="2955" t="s">
        <v>3311</v>
      </c>
    </row>
    <row r="41" spans="1:45" hidden="1">
      <c r="A41" s="2955" t="s">
        <v>3303</v>
      </c>
      <c r="B41" s="2955" t="s">
        <v>3112</v>
      </c>
      <c r="C41" s="2955" t="s">
        <v>3113</v>
      </c>
      <c r="D41" s="2955" t="s">
        <v>3114</v>
      </c>
      <c r="E41" s="2955" t="s">
        <v>1327</v>
      </c>
      <c r="F41" s="2955" t="s">
        <v>3303</v>
      </c>
      <c r="G41" s="2955" t="s">
        <v>3200</v>
      </c>
      <c r="H41" s="2955" t="s">
        <v>3312</v>
      </c>
      <c r="I41" s="2955" t="s">
        <v>3189</v>
      </c>
      <c r="J41" s="2955">
        <v>76819.61</v>
      </c>
      <c r="K41" s="2955">
        <v>92183.53</v>
      </c>
      <c r="L41" s="2955" t="s">
        <v>3118</v>
      </c>
      <c r="M41" s="2955" t="s">
        <v>1327</v>
      </c>
      <c r="N41" s="2955" t="s">
        <v>3313</v>
      </c>
      <c r="O41" s="2955" t="s">
        <v>3241</v>
      </c>
      <c r="P41" s="2955" t="s">
        <v>1327</v>
      </c>
      <c r="Q41" s="2955" t="s">
        <v>1327</v>
      </c>
      <c r="R41" s="2955" t="s">
        <v>1327</v>
      </c>
      <c r="S41" s="2955" t="s">
        <v>1327</v>
      </c>
      <c r="T41" s="2955" t="s">
        <v>1327</v>
      </c>
      <c r="U41" s="2955" t="s">
        <v>1327</v>
      </c>
      <c r="V41" s="2955" t="s">
        <v>1327</v>
      </c>
      <c r="W41" s="2955" t="s">
        <v>3226</v>
      </c>
      <c r="X41" s="2955" t="s">
        <v>3307</v>
      </c>
      <c r="Y41" s="2955" t="s">
        <v>3308</v>
      </c>
      <c r="Z41" s="2955" t="s">
        <v>3308</v>
      </c>
      <c r="AA41" s="2955" t="s">
        <v>3308</v>
      </c>
      <c r="AB41" s="2955" t="s">
        <v>3314</v>
      </c>
      <c r="AC41" s="2955" t="s">
        <v>3126</v>
      </c>
      <c r="AD41" s="2955" t="s">
        <v>3315</v>
      </c>
      <c r="AE41" s="2955">
        <v>40852.129999999997</v>
      </c>
      <c r="AF41" s="2955">
        <v>40852.120000000003</v>
      </c>
      <c r="AG41" s="2955">
        <v>40859.800000000003</v>
      </c>
      <c r="AH41" s="2955">
        <v>354.53</v>
      </c>
      <c r="AI41" s="2955">
        <v>354.6</v>
      </c>
      <c r="AJ41" s="2955">
        <v>4431.6000000000004</v>
      </c>
      <c r="AK41" s="2955">
        <v>4432.43</v>
      </c>
      <c r="AL41" s="2955" t="s">
        <v>1327</v>
      </c>
      <c r="AM41" s="2955" t="s">
        <v>1327</v>
      </c>
      <c r="AN41" s="2955">
        <v>0.02</v>
      </c>
      <c r="AO41" s="2955" t="s">
        <v>3128</v>
      </c>
      <c r="AP41" s="2955" t="s">
        <v>1327</v>
      </c>
      <c r="AQ41" s="2955" t="s">
        <v>1327</v>
      </c>
      <c r="AR41" s="2955" t="s">
        <v>1327</v>
      </c>
      <c r="AS41" s="2955" t="s">
        <v>3166</v>
      </c>
    </row>
    <row r="42" spans="1:45" hidden="1">
      <c r="A42" s="2955" t="s">
        <v>3303</v>
      </c>
      <c r="B42" s="2955" t="s">
        <v>3112</v>
      </c>
      <c r="C42" s="2955" t="s">
        <v>3113</v>
      </c>
      <c r="D42" s="2955" t="s">
        <v>3114</v>
      </c>
      <c r="E42" s="2955" t="s">
        <v>1327</v>
      </c>
      <c r="F42" s="2955" t="s">
        <v>3303</v>
      </c>
      <c r="G42" s="2955" t="s">
        <v>3200</v>
      </c>
      <c r="H42" s="2955" t="s">
        <v>3316</v>
      </c>
      <c r="I42" s="2955" t="s">
        <v>3189</v>
      </c>
      <c r="J42" s="2955">
        <v>17331.37</v>
      </c>
      <c r="K42" s="2955">
        <v>20797.64</v>
      </c>
      <c r="L42" s="2955" t="s">
        <v>3118</v>
      </c>
      <c r="M42" s="2955" t="s">
        <v>1327</v>
      </c>
      <c r="N42" s="2955" t="s">
        <v>3317</v>
      </c>
      <c r="O42" s="2955" t="s">
        <v>3318</v>
      </c>
      <c r="P42" s="2955" t="s">
        <v>1327</v>
      </c>
      <c r="Q42" s="2955" t="s">
        <v>1327</v>
      </c>
      <c r="R42" s="2955" t="s">
        <v>1327</v>
      </c>
      <c r="S42" s="2955" t="s">
        <v>1327</v>
      </c>
      <c r="T42" s="2955" t="s">
        <v>1327</v>
      </c>
      <c r="U42" s="2955" t="s">
        <v>1327</v>
      </c>
      <c r="V42" s="2955" t="s">
        <v>1327</v>
      </c>
      <c r="W42" s="2955" t="s">
        <v>3226</v>
      </c>
      <c r="X42" s="2955" t="s">
        <v>3307</v>
      </c>
      <c r="Y42" s="2955" t="s">
        <v>3308</v>
      </c>
      <c r="Z42" s="2955" t="s">
        <v>3308</v>
      </c>
      <c r="AA42" s="2955" t="s">
        <v>3308</v>
      </c>
      <c r="AB42" s="2955" t="s">
        <v>3319</v>
      </c>
      <c r="AC42" s="2955" t="s">
        <v>3126</v>
      </c>
      <c r="AD42" s="2955" t="s">
        <v>3320</v>
      </c>
      <c r="AE42" s="2955">
        <v>9218.56</v>
      </c>
      <c r="AF42" s="2955">
        <v>9218.5499999999993</v>
      </c>
      <c r="AG42" s="2955">
        <v>9220.2900000000009</v>
      </c>
      <c r="AH42" s="2955">
        <v>354.6</v>
      </c>
      <c r="AI42" s="2955">
        <v>354.67</v>
      </c>
      <c r="AJ42" s="2955">
        <v>4432.5</v>
      </c>
      <c r="AK42" s="2955">
        <v>4433.32</v>
      </c>
      <c r="AL42" s="2955" t="s">
        <v>1327</v>
      </c>
      <c r="AM42" s="2955" t="s">
        <v>1327</v>
      </c>
      <c r="AN42" s="2955">
        <v>0.02</v>
      </c>
      <c r="AO42" s="2955" t="s">
        <v>3128</v>
      </c>
      <c r="AP42" s="2955" t="s">
        <v>1327</v>
      </c>
      <c r="AQ42" s="2955" t="s">
        <v>1327</v>
      </c>
      <c r="AR42" s="2955" t="s">
        <v>1327</v>
      </c>
      <c r="AS42" s="2955" t="s">
        <v>3166</v>
      </c>
    </row>
    <row r="43" spans="1:45" hidden="1">
      <c r="A43" s="2955" t="s">
        <v>3303</v>
      </c>
      <c r="B43" s="2955" t="s">
        <v>3112</v>
      </c>
      <c r="C43" s="2955" t="s">
        <v>3113</v>
      </c>
      <c r="D43" s="2955" t="s">
        <v>3114</v>
      </c>
      <c r="E43" s="2955" t="s">
        <v>1327</v>
      </c>
      <c r="F43" s="2955" t="s">
        <v>3303</v>
      </c>
      <c r="G43" s="2955" t="s">
        <v>3200</v>
      </c>
      <c r="H43" s="2955" t="s">
        <v>3321</v>
      </c>
      <c r="I43" s="2955" t="s">
        <v>3177</v>
      </c>
      <c r="J43" s="2955">
        <v>22193.77</v>
      </c>
      <c r="K43" s="2955">
        <v>33290.660000000003</v>
      </c>
      <c r="L43" s="2955" t="s">
        <v>3304</v>
      </c>
      <c r="M43" s="2955" t="s">
        <v>1327</v>
      </c>
      <c r="N43" s="2955" t="s">
        <v>3305</v>
      </c>
      <c r="O43" s="2955" t="s">
        <v>3306</v>
      </c>
      <c r="P43" s="2955" t="s">
        <v>1327</v>
      </c>
      <c r="Q43" s="2955" t="s">
        <v>1327</v>
      </c>
      <c r="R43" s="2955" t="s">
        <v>1327</v>
      </c>
      <c r="S43" s="2955" t="s">
        <v>1327</v>
      </c>
      <c r="T43" s="2955" t="s">
        <v>1327</v>
      </c>
      <c r="U43" s="2955" t="s">
        <v>1327</v>
      </c>
      <c r="V43" s="2955" t="s">
        <v>1327</v>
      </c>
      <c r="W43" s="2955" t="s">
        <v>3226</v>
      </c>
      <c r="X43" s="2955" t="s">
        <v>3307</v>
      </c>
      <c r="Y43" s="2955" t="s">
        <v>3308</v>
      </c>
      <c r="Z43" s="2955" t="s">
        <v>3308</v>
      </c>
      <c r="AA43" s="2955" t="s">
        <v>3308</v>
      </c>
      <c r="AB43" s="2955" t="s">
        <v>3322</v>
      </c>
      <c r="AC43" s="2955" t="s">
        <v>3126</v>
      </c>
      <c r="AD43" s="2955" t="s">
        <v>3323</v>
      </c>
      <c r="AE43" s="2955">
        <v>11813.74</v>
      </c>
      <c r="AF43" s="2955">
        <v>11813.73</v>
      </c>
      <c r="AG43" s="2955">
        <v>11815.95</v>
      </c>
      <c r="AH43" s="2955">
        <v>354.87</v>
      </c>
      <c r="AI43" s="2955">
        <v>354.93</v>
      </c>
      <c r="AJ43" s="2955">
        <v>3548.66</v>
      </c>
      <c r="AK43" s="2955">
        <v>3549.32</v>
      </c>
      <c r="AL43" s="2955" t="s">
        <v>1327</v>
      </c>
      <c r="AM43" s="2955" t="s">
        <v>1327</v>
      </c>
      <c r="AN43" s="2955">
        <v>0.02</v>
      </c>
      <c r="AO43" s="2955" t="s">
        <v>3128</v>
      </c>
      <c r="AP43" s="2955" t="s">
        <v>1327</v>
      </c>
      <c r="AQ43" s="2955" t="s">
        <v>1327</v>
      </c>
      <c r="AR43" s="2955" t="s">
        <v>1327</v>
      </c>
      <c r="AS43" s="2955" t="s">
        <v>3166</v>
      </c>
    </row>
    <row r="44" spans="1:45" hidden="1">
      <c r="A44" s="2955" t="s">
        <v>3111</v>
      </c>
      <c r="B44" s="2955" t="s">
        <v>3112</v>
      </c>
      <c r="C44" s="2955" t="s">
        <v>3113</v>
      </c>
      <c r="D44" s="2955" t="s">
        <v>3114</v>
      </c>
      <c r="E44" s="2955" t="s">
        <v>1327</v>
      </c>
      <c r="F44" s="2955" t="s">
        <v>3111</v>
      </c>
      <c r="G44" s="2955" t="s">
        <v>3200</v>
      </c>
      <c r="H44" s="2955" t="s">
        <v>3267</v>
      </c>
      <c r="I44" s="2955" t="s">
        <v>3324</v>
      </c>
      <c r="J44" s="2955">
        <v>45990.03</v>
      </c>
      <c r="K44" s="2955">
        <v>50589.03</v>
      </c>
      <c r="L44" s="2955" t="s">
        <v>3269</v>
      </c>
      <c r="M44" s="2955" t="s">
        <v>1327</v>
      </c>
      <c r="N44" s="2955" t="s">
        <v>1327</v>
      </c>
      <c r="O44" s="2955" t="s">
        <v>1327</v>
      </c>
      <c r="P44" s="2955" t="s">
        <v>1327</v>
      </c>
      <c r="Q44" s="2955" t="s">
        <v>1327</v>
      </c>
      <c r="R44" s="2955" t="s">
        <v>1327</v>
      </c>
      <c r="S44" s="2955" t="s">
        <v>1327</v>
      </c>
      <c r="T44" s="2955" t="s">
        <v>1327</v>
      </c>
      <c r="U44" s="2955" t="s">
        <v>1327</v>
      </c>
      <c r="V44" s="2955" t="s">
        <v>1327</v>
      </c>
      <c r="W44" s="2955" t="s">
        <v>3226</v>
      </c>
      <c r="X44" s="2955" t="s">
        <v>3325</v>
      </c>
      <c r="Y44" s="2955" t="s">
        <v>3326</v>
      </c>
      <c r="Z44" s="2955" t="s">
        <v>3326</v>
      </c>
      <c r="AA44" s="2955" t="s">
        <v>3326</v>
      </c>
      <c r="AB44" s="2955" t="s">
        <v>3327</v>
      </c>
      <c r="AC44" s="2955" t="s">
        <v>3126</v>
      </c>
      <c r="AD44" s="2955" t="s">
        <v>3328</v>
      </c>
      <c r="AE44" s="2955">
        <v>4274.3100000000004</v>
      </c>
      <c r="AF44" s="2955">
        <v>7123.85</v>
      </c>
      <c r="AG44" s="2955">
        <v>7143.85</v>
      </c>
      <c r="AH44" s="2955">
        <v>103.27</v>
      </c>
      <c r="AI44" s="2955">
        <v>103.56</v>
      </c>
      <c r="AJ44" s="2955">
        <v>1408.18</v>
      </c>
      <c r="AK44" s="2955">
        <v>1412.14</v>
      </c>
      <c r="AL44" s="2955" t="s">
        <v>1327</v>
      </c>
      <c r="AM44" s="2955" t="s">
        <v>1327</v>
      </c>
      <c r="AN44" s="2955">
        <v>0.28000000000000003</v>
      </c>
      <c r="AO44" s="2955" t="s">
        <v>3128</v>
      </c>
      <c r="AP44" s="2955" t="s">
        <v>1327</v>
      </c>
      <c r="AQ44" s="2955" t="s">
        <v>1327</v>
      </c>
      <c r="AR44" s="2955" t="s">
        <v>1327</v>
      </c>
      <c r="AS44" s="2955" t="s">
        <v>3138</v>
      </c>
    </row>
    <row r="45" spans="1:45" hidden="1">
      <c r="A45" s="2955" t="s">
        <v>3111</v>
      </c>
      <c r="B45" s="2955" t="s">
        <v>3112</v>
      </c>
      <c r="C45" s="2955" t="s">
        <v>3113</v>
      </c>
      <c r="D45" s="2955" t="s">
        <v>3114</v>
      </c>
      <c r="E45" s="2955" t="s">
        <v>1327</v>
      </c>
      <c r="F45" s="2955" t="s">
        <v>3111</v>
      </c>
      <c r="G45" s="2955" t="s">
        <v>3200</v>
      </c>
      <c r="H45" s="2955" t="s">
        <v>3329</v>
      </c>
      <c r="I45" s="2955" t="s">
        <v>3324</v>
      </c>
      <c r="J45" s="2955">
        <v>64019.91</v>
      </c>
      <c r="K45" s="2955">
        <v>115235.8</v>
      </c>
      <c r="L45" s="2955" t="s">
        <v>3330</v>
      </c>
      <c r="M45" s="2955" t="s">
        <v>1327</v>
      </c>
      <c r="N45" s="2955" t="s">
        <v>1327</v>
      </c>
      <c r="O45" s="2955" t="s">
        <v>1327</v>
      </c>
      <c r="P45" s="2955" t="s">
        <v>1327</v>
      </c>
      <c r="Q45" s="2955" t="s">
        <v>1327</v>
      </c>
      <c r="R45" s="2955" t="s">
        <v>1327</v>
      </c>
      <c r="S45" s="2955" t="s">
        <v>1327</v>
      </c>
      <c r="T45" s="2955" t="s">
        <v>1327</v>
      </c>
      <c r="U45" s="2955" t="s">
        <v>1327</v>
      </c>
      <c r="V45" s="2955" t="s">
        <v>1327</v>
      </c>
      <c r="W45" s="2955" t="s">
        <v>3226</v>
      </c>
      <c r="X45" s="2955" t="s">
        <v>3325</v>
      </c>
      <c r="Y45" s="2955" t="s">
        <v>3326</v>
      </c>
      <c r="Z45" s="2955" t="s">
        <v>3326</v>
      </c>
      <c r="AA45" s="2955" t="s">
        <v>3326</v>
      </c>
      <c r="AB45" s="2955" t="s">
        <v>3331</v>
      </c>
      <c r="AC45" s="2955" t="s">
        <v>3126</v>
      </c>
      <c r="AD45" s="2955" t="s">
        <v>3332</v>
      </c>
      <c r="AE45" s="2955">
        <v>6434</v>
      </c>
      <c r="AF45" s="2955">
        <v>10723.32</v>
      </c>
      <c r="AG45" s="2955">
        <v>10743.32</v>
      </c>
      <c r="AH45" s="2955">
        <v>111.67</v>
      </c>
      <c r="AI45" s="2955">
        <v>111.87</v>
      </c>
      <c r="AJ45" s="2955">
        <v>930.55</v>
      </c>
      <c r="AK45" s="2955">
        <v>932.28</v>
      </c>
      <c r="AL45" s="2955" t="s">
        <v>1327</v>
      </c>
      <c r="AM45" s="2955" t="s">
        <v>1327</v>
      </c>
      <c r="AN45" s="2955">
        <v>0.19</v>
      </c>
      <c r="AO45" s="2955" t="s">
        <v>3128</v>
      </c>
      <c r="AP45" s="2955" t="s">
        <v>1327</v>
      </c>
      <c r="AQ45" s="2955" t="s">
        <v>1327</v>
      </c>
      <c r="AR45" s="2955" t="s">
        <v>1327</v>
      </c>
      <c r="AS45" s="2955" t="s">
        <v>3166</v>
      </c>
    </row>
    <row r="46" spans="1:45" hidden="1">
      <c r="A46" s="2955" t="s">
        <v>3111</v>
      </c>
      <c r="B46" s="2955" t="s">
        <v>3112</v>
      </c>
      <c r="C46" s="2955" t="s">
        <v>3113</v>
      </c>
      <c r="D46" s="2955" t="s">
        <v>3114</v>
      </c>
      <c r="E46" s="2955" t="s">
        <v>1327</v>
      </c>
      <c r="F46" s="2955" t="s">
        <v>3111</v>
      </c>
      <c r="G46" s="2955" t="s">
        <v>3200</v>
      </c>
      <c r="H46" s="2955" t="s">
        <v>3333</v>
      </c>
      <c r="I46" s="2955" t="s">
        <v>3324</v>
      </c>
      <c r="J46" s="2955">
        <v>23346.52</v>
      </c>
      <c r="K46" s="2955">
        <v>23346.52</v>
      </c>
      <c r="L46" s="2955" t="s">
        <v>3131</v>
      </c>
      <c r="M46" s="2955" t="s">
        <v>1327</v>
      </c>
      <c r="N46" s="2955" t="s">
        <v>1327</v>
      </c>
      <c r="O46" s="2955" t="s">
        <v>1327</v>
      </c>
      <c r="P46" s="2955" t="s">
        <v>1327</v>
      </c>
      <c r="Q46" s="2955" t="s">
        <v>1327</v>
      </c>
      <c r="R46" s="2955" t="s">
        <v>1327</v>
      </c>
      <c r="S46" s="2955" t="s">
        <v>1327</v>
      </c>
      <c r="T46" s="2955" t="s">
        <v>1327</v>
      </c>
      <c r="U46" s="2955" t="s">
        <v>1327</v>
      </c>
      <c r="V46" s="2955" t="s">
        <v>1327</v>
      </c>
      <c r="W46" s="2955" t="s">
        <v>3226</v>
      </c>
      <c r="X46" s="2955" t="s">
        <v>3325</v>
      </c>
      <c r="Y46" s="2955" t="s">
        <v>3326</v>
      </c>
      <c r="Z46" s="2955" t="s">
        <v>3326</v>
      </c>
      <c r="AA46" s="2955" t="s">
        <v>3326</v>
      </c>
      <c r="AB46" s="2955" t="s">
        <v>3334</v>
      </c>
      <c r="AC46" s="2955" t="s">
        <v>3126</v>
      </c>
      <c r="AD46" s="2955" t="s">
        <v>3335</v>
      </c>
      <c r="AE46" s="2955">
        <v>2102.59</v>
      </c>
      <c r="AF46" s="2955">
        <v>3504.3</v>
      </c>
      <c r="AG46" s="2955">
        <v>3524.3</v>
      </c>
      <c r="AH46" s="2955">
        <v>100.07</v>
      </c>
      <c r="AI46" s="2955">
        <v>100.64</v>
      </c>
      <c r="AJ46" s="2955">
        <v>1500.99</v>
      </c>
      <c r="AK46" s="2955">
        <v>1509.56</v>
      </c>
      <c r="AL46" s="2955" t="s">
        <v>1327</v>
      </c>
      <c r="AM46" s="2955" t="s">
        <v>1327</v>
      </c>
      <c r="AN46" s="2955">
        <v>0.56999999999999995</v>
      </c>
      <c r="AO46" s="2955" t="s">
        <v>3128</v>
      </c>
      <c r="AP46" s="2955" t="s">
        <v>1327</v>
      </c>
      <c r="AQ46" s="2955" t="s">
        <v>1327</v>
      </c>
      <c r="AR46" s="2955" t="s">
        <v>1327</v>
      </c>
      <c r="AS46" s="2955" t="s">
        <v>3138</v>
      </c>
    </row>
    <row r="47" spans="1:45" hidden="1">
      <c r="A47" s="2955" t="s">
        <v>3111</v>
      </c>
      <c r="B47" s="2955" t="s">
        <v>3112</v>
      </c>
      <c r="C47" s="2955" t="s">
        <v>3113</v>
      </c>
      <c r="D47" s="2955" t="s">
        <v>3114</v>
      </c>
      <c r="E47" s="2955" t="s">
        <v>1327</v>
      </c>
      <c r="F47" s="2955" t="s">
        <v>3111</v>
      </c>
      <c r="G47" s="2955" t="s">
        <v>3200</v>
      </c>
      <c r="H47" s="2955" t="s">
        <v>3274</v>
      </c>
      <c r="I47" s="2955" t="s">
        <v>3324</v>
      </c>
      <c r="J47" s="2955">
        <v>56879.05</v>
      </c>
      <c r="K47" s="2955">
        <v>65410.91</v>
      </c>
      <c r="L47" s="2955" t="s">
        <v>3275</v>
      </c>
      <c r="M47" s="2955" t="s">
        <v>1327</v>
      </c>
      <c r="N47" s="2955" t="s">
        <v>1327</v>
      </c>
      <c r="O47" s="2955" t="s">
        <v>1327</v>
      </c>
      <c r="P47" s="2955" t="s">
        <v>1327</v>
      </c>
      <c r="Q47" s="2955" t="s">
        <v>1327</v>
      </c>
      <c r="R47" s="2955" t="s">
        <v>1327</v>
      </c>
      <c r="S47" s="2955" t="s">
        <v>1327</v>
      </c>
      <c r="T47" s="2955" t="s">
        <v>1327</v>
      </c>
      <c r="U47" s="2955" t="s">
        <v>1327</v>
      </c>
      <c r="V47" s="2955" t="s">
        <v>1327</v>
      </c>
      <c r="W47" s="2955" t="s">
        <v>3226</v>
      </c>
      <c r="X47" s="2955" t="s">
        <v>3325</v>
      </c>
      <c r="Y47" s="2955" t="s">
        <v>3326</v>
      </c>
      <c r="Z47" s="2955" t="s">
        <v>3326</v>
      </c>
      <c r="AA47" s="2955" t="s">
        <v>3326</v>
      </c>
      <c r="AB47" s="2955" t="s">
        <v>3336</v>
      </c>
      <c r="AC47" s="2955" t="s">
        <v>3126</v>
      </c>
      <c r="AD47" s="2955" t="s">
        <v>3337</v>
      </c>
      <c r="AE47" s="2955">
        <v>6149.76</v>
      </c>
      <c r="AF47" s="2955">
        <v>10249.6</v>
      </c>
      <c r="AG47" s="2955">
        <v>10269.6</v>
      </c>
      <c r="AH47" s="2955">
        <v>120.13</v>
      </c>
      <c r="AI47" s="2955">
        <v>120.37</v>
      </c>
      <c r="AJ47" s="2955">
        <v>1566.95</v>
      </c>
      <c r="AK47" s="2955">
        <v>1570</v>
      </c>
      <c r="AL47" s="2955" t="s">
        <v>1327</v>
      </c>
      <c r="AM47" s="2955" t="s">
        <v>1327</v>
      </c>
      <c r="AN47" s="2955">
        <v>0.2</v>
      </c>
      <c r="AO47" s="2955" t="s">
        <v>3128</v>
      </c>
      <c r="AP47" s="2955" t="s">
        <v>1327</v>
      </c>
      <c r="AQ47" s="2955" t="s">
        <v>1327</v>
      </c>
      <c r="AR47" s="2955" t="s">
        <v>1327</v>
      </c>
      <c r="AS47" s="2955" t="s">
        <v>3129</v>
      </c>
    </row>
    <row r="48" spans="1:45" hidden="1">
      <c r="A48" s="2955" t="s">
        <v>3338</v>
      </c>
      <c r="B48" s="2955" t="s">
        <v>3112</v>
      </c>
      <c r="C48" s="2955" t="s">
        <v>3113</v>
      </c>
      <c r="D48" s="2955" t="s">
        <v>3199</v>
      </c>
      <c r="E48" s="2955" t="s">
        <v>1327</v>
      </c>
      <c r="F48" s="2955" t="s">
        <v>3339</v>
      </c>
      <c r="G48" s="2955" t="s">
        <v>3200</v>
      </c>
      <c r="H48" s="2955">
        <v>12</v>
      </c>
      <c r="I48" s="2955" t="s">
        <v>3340</v>
      </c>
      <c r="J48" s="2955">
        <v>3177.53</v>
      </c>
      <c r="K48" s="2955">
        <v>1271.01</v>
      </c>
      <c r="L48" s="2955" t="s">
        <v>3341</v>
      </c>
      <c r="M48" s="2955" t="s">
        <v>1327</v>
      </c>
      <c r="N48" s="2955" t="s">
        <v>1327</v>
      </c>
      <c r="O48" s="2955" t="s">
        <v>1327</v>
      </c>
      <c r="P48" s="2955" t="s">
        <v>1327</v>
      </c>
      <c r="Q48" s="2955" t="s">
        <v>1327</v>
      </c>
      <c r="R48" s="2955" t="s">
        <v>1327</v>
      </c>
      <c r="S48" s="2955" t="s">
        <v>1327</v>
      </c>
      <c r="T48" s="2955" t="s">
        <v>1327</v>
      </c>
      <c r="U48" s="2955" t="s">
        <v>1327</v>
      </c>
      <c r="V48" s="2955" t="s">
        <v>1327</v>
      </c>
      <c r="W48" s="2955" t="s">
        <v>3226</v>
      </c>
      <c r="X48" s="2955" t="s">
        <v>3342</v>
      </c>
      <c r="Y48" s="2955" t="s">
        <v>3343</v>
      </c>
      <c r="Z48" s="2955" t="s">
        <v>3343</v>
      </c>
      <c r="AA48" s="2955" t="s">
        <v>3343</v>
      </c>
      <c r="AB48" s="2955" t="s">
        <v>3344</v>
      </c>
      <c r="AC48" s="2955" t="s">
        <v>3126</v>
      </c>
      <c r="AD48" s="2955" t="s">
        <v>3345</v>
      </c>
      <c r="AE48" s="2955">
        <v>1099.57</v>
      </c>
      <c r="AF48" s="2955">
        <v>1006</v>
      </c>
      <c r="AG48" s="2955">
        <v>1006</v>
      </c>
      <c r="AH48" s="2955">
        <v>211.07</v>
      </c>
      <c r="AI48" s="2955">
        <v>211.07</v>
      </c>
      <c r="AJ48" s="2955">
        <v>7915.04</v>
      </c>
      <c r="AK48" s="2955">
        <v>7915.03</v>
      </c>
      <c r="AL48" s="2955" t="s">
        <v>1327</v>
      </c>
      <c r="AM48" s="2955" t="s">
        <v>1327</v>
      </c>
      <c r="AN48" s="2955">
        <v>0</v>
      </c>
      <c r="AO48" s="2955" t="s">
        <v>3128</v>
      </c>
      <c r="AP48" s="2955" t="s">
        <v>1327</v>
      </c>
      <c r="AQ48" s="2955" t="s">
        <v>1327</v>
      </c>
      <c r="AR48" s="2955" t="s">
        <v>1327</v>
      </c>
      <c r="AS48" s="2955" t="s">
        <v>3147</v>
      </c>
    </row>
    <row r="49" spans="1:45" hidden="1">
      <c r="A49" s="2955" t="s">
        <v>3346</v>
      </c>
      <c r="B49" s="2955" t="s">
        <v>3112</v>
      </c>
      <c r="C49" s="2955" t="s">
        <v>3113</v>
      </c>
      <c r="D49" s="2955" t="s">
        <v>3199</v>
      </c>
      <c r="E49" s="2955" t="s">
        <v>1327</v>
      </c>
      <c r="F49" s="2955" t="s">
        <v>3346</v>
      </c>
      <c r="G49" s="2955" t="s">
        <v>3200</v>
      </c>
      <c r="H49" s="2955">
        <v>1</v>
      </c>
      <c r="I49" s="2955" t="s">
        <v>3157</v>
      </c>
      <c r="J49" s="2955">
        <v>13766.67</v>
      </c>
      <c r="K49" s="2955">
        <v>44493.88</v>
      </c>
      <c r="L49" s="2955" t="s">
        <v>3347</v>
      </c>
      <c r="M49" s="2955" t="s">
        <v>1327</v>
      </c>
      <c r="N49" s="2955" t="s">
        <v>3348</v>
      </c>
      <c r="O49" s="2955" t="s">
        <v>3349</v>
      </c>
      <c r="P49" s="2955" t="s">
        <v>1327</v>
      </c>
      <c r="Q49" s="2955" t="s">
        <v>1327</v>
      </c>
      <c r="R49" s="2955" t="s">
        <v>1327</v>
      </c>
      <c r="S49" s="2955" t="s">
        <v>1327</v>
      </c>
      <c r="T49" s="2955" t="s">
        <v>1327</v>
      </c>
      <c r="U49" s="2955" t="s">
        <v>1327</v>
      </c>
      <c r="V49" s="2955" t="s">
        <v>1327</v>
      </c>
      <c r="W49" s="2955" t="s">
        <v>3226</v>
      </c>
      <c r="X49" s="2955" t="s">
        <v>3350</v>
      </c>
      <c r="Y49" s="2955" t="s">
        <v>3351</v>
      </c>
      <c r="Z49" s="2955" t="s">
        <v>3351</v>
      </c>
      <c r="AA49" s="2955" t="s">
        <v>3351</v>
      </c>
      <c r="AB49" s="2955" t="s">
        <v>3352</v>
      </c>
      <c r="AC49" s="2955" t="s">
        <v>3126</v>
      </c>
      <c r="AD49" s="2955" t="s">
        <v>3353</v>
      </c>
      <c r="AE49" s="2955">
        <v>10060.68</v>
      </c>
      <c r="AF49" s="2955">
        <v>10060.68</v>
      </c>
      <c r="AG49" s="2955">
        <v>10062.049999999999</v>
      </c>
      <c r="AH49" s="2955">
        <v>487.2</v>
      </c>
      <c r="AI49" s="2955">
        <v>487.27</v>
      </c>
      <c r="AJ49" s="2955">
        <v>2261.13</v>
      </c>
      <c r="AK49" s="2955">
        <v>2261.44</v>
      </c>
      <c r="AL49" s="2955" t="s">
        <v>1327</v>
      </c>
      <c r="AM49" s="2955" t="s">
        <v>1327</v>
      </c>
      <c r="AN49" s="2955">
        <v>0.01</v>
      </c>
      <c r="AO49" s="2955" t="s">
        <v>3128</v>
      </c>
      <c r="AP49" s="2955" t="s">
        <v>1327</v>
      </c>
      <c r="AQ49" s="2955" t="s">
        <v>1327</v>
      </c>
      <c r="AR49" s="2955" t="s">
        <v>1327</v>
      </c>
      <c r="AS49" s="2955" t="s">
        <v>3129</v>
      </c>
    </row>
    <row r="50" spans="1:45" hidden="1">
      <c r="A50" s="2955" t="s">
        <v>3354</v>
      </c>
      <c r="B50" s="2955" t="s">
        <v>3112</v>
      </c>
      <c r="C50" s="2955" t="s">
        <v>3113</v>
      </c>
      <c r="D50" s="2955" t="s">
        <v>3114</v>
      </c>
      <c r="E50" s="2955" t="s">
        <v>1327</v>
      </c>
      <c r="F50" s="2955" t="s">
        <v>3354</v>
      </c>
      <c r="G50" s="2955" t="s">
        <v>3200</v>
      </c>
      <c r="H50" s="2955" t="s">
        <v>3277</v>
      </c>
      <c r="I50" s="2955" t="s">
        <v>3177</v>
      </c>
      <c r="J50" s="2955">
        <v>60705.84</v>
      </c>
      <c r="K50" s="2955">
        <v>66776.42</v>
      </c>
      <c r="L50" s="2955" t="s">
        <v>3355</v>
      </c>
      <c r="M50" s="2955" t="s">
        <v>1327</v>
      </c>
      <c r="N50" s="2955" t="s">
        <v>1327</v>
      </c>
      <c r="O50" s="2955" t="s">
        <v>1327</v>
      </c>
      <c r="P50" s="2955" t="s">
        <v>1327</v>
      </c>
      <c r="Q50" s="2955" t="s">
        <v>1327</v>
      </c>
      <c r="R50" s="2955" t="s">
        <v>1327</v>
      </c>
      <c r="S50" s="2955" t="s">
        <v>1327</v>
      </c>
      <c r="T50" s="2955" t="s">
        <v>1327</v>
      </c>
      <c r="U50" s="2955" t="s">
        <v>1327</v>
      </c>
      <c r="V50" s="2955" t="s">
        <v>1327</v>
      </c>
      <c r="W50" s="2955" t="s">
        <v>3226</v>
      </c>
      <c r="X50" s="2955" t="s">
        <v>3356</v>
      </c>
      <c r="Y50" s="2955" t="s">
        <v>3357</v>
      </c>
      <c r="Z50" s="2955" t="s">
        <v>3357</v>
      </c>
      <c r="AA50" s="2955" t="s">
        <v>3357</v>
      </c>
      <c r="AB50" s="2955" t="s">
        <v>3358</v>
      </c>
      <c r="AC50" s="2955" t="s">
        <v>3126</v>
      </c>
      <c r="AD50" s="2955" t="s">
        <v>3359</v>
      </c>
      <c r="AE50" s="2955">
        <v>5460.49</v>
      </c>
      <c r="AF50" s="2955">
        <v>15601.39</v>
      </c>
      <c r="AG50" s="2955">
        <v>15621.39</v>
      </c>
      <c r="AH50" s="2955">
        <v>171.33</v>
      </c>
      <c r="AI50" s="2955">
        <v>171.55</v>
      </c>
      <c r="AJ50" s="2955">
        <v>2336.36</v>
      </c>
      <c r="AK50" s="2955">
        <v>2339.36</v>
      </c>
      <c r="AL50" s="2955" t="s">
        <v>1327</v>
      </c>
      <c r="AM50" s="2955" t="s">
        <v>1327</v>
      </c>
      <c r="AN50" s="2955">
        <v>0.13</v>
      </c>
      <c r="AO50" s="2955" t="s">
        <v>3128</v>
      </c>
      <c r="AP50" s="2955" t="s">
        <v>1327</v>
      </c>
      <c r="AQ50" s="2955" t="s">
        <v>1327</v>
      </c>
      <c r="AR50" s="2955" t="s">
        <v>1327</v>
      </c>
      <c r="AS50" s="2955" t="s">
        <v>3311</v>
      </c>
    </row>
    <row r="51" spans="1:45" hidden="1">
      <c r="A51" s="2955" t="s">
        <v>3354</v>
      </c>
      <c r="B51" s="2955" t="s">
        <v>3112</v>
      </c>
      <c r="C51" s="2955" t="s">
        <v>3113</v>
      </c>
      <c r="D51" s="2955" t="s">
        <v>3114</v>
      </c>
      <c r="E51" s="2955" t="s">
        <v>1327</v>
      </c>
      <c r="F51" s="2955" t="s">
        <v>3354</v>
      </c>
      <c r="G51" s="2955" t="s">
        <v>3200</v>
      </c>
      <c r="H51" s="2955" t="s">
        <v>3333</v>
      </c>
      <c r="I51" s="2955" t="s">
        <v>3177</v>
      </c>
      <c r="J51" s="2955">
        <v>142060.20000000001</v>
      </c>
      <c r="K51" s="2955">
        <v>142060.20000000001</v>
      </c>
      <c r="L51" s="2955" t="s">
        <v>3360</v>
      </c>
      <c r="M51" s="2955" t="s">
        <v>1327</v>
      </c>
      <c r="N51" s="2955" t="s">
        <v>1327</v>
      </c>
      <c r="O51" s="2955" t="s">
        <v>1327</v>
      </c>
      <c r="P51" s="2955" t="s">
        <v>1327</v>
      </c>
      <c r="Q51" s="2955" t="s">
        <v>1327</v>
      </c>
      <c r="R51" s="2955" t="s">
        <v>1327</v>
      </c>
      <c r="S51" s="2955" t="s">
        <v>1327</v>
      </c>
      <c r="T51" s="2955" t="s">
        <v>1327</v>
      </c>
      <c r="U51" s="2955" t="s">
        <v>1327</v>
      </c>
      <c r="V51" s="2955" t="s">
        <v>1327</v>
      </c>
      <c r="W51" s="2955" t="s">
        <v>3226</v>
      </c>
      <c r="X51" s="2955" t="s">
        <v>3356</v>
      </c>
      <c r="Y51" s="2955" t="s">
        <v>3357</v>
      </c>
      <c r="Z51" s="2955" t="s">
        <v>3357</v>
      </c>
      <c r="AA51" s="2955" t="s">
        <v>3357</v>
      </c>
      <c r="AB51" s="2955" t="s">
        <v>3361</v>
      </c>
      <c r="AC51" s="2955" t="s">
        <v>3126</v>
      </c>
      <c r="AD51" s="2955" t="s">
        <v>3335</v>
      </c>
      <c r="AE51" s="2955">
        <v>7448.22</v>
      </c>
      <c r="AF51" s="2955">
        <v>21280.61</v>
      </c>
      <c r="AG51" s="2955">
        <v>21300.61</v>
      </c>
      <c r="AH51" s="2955">
        <v>99.87</v>
      </c>
      <c r="AI51" s="2955">
        <v>99.96</v>
      </c>
      <c r="AJ51" s="2955">
        <v>1498</v>
      </c>
      <c r="AK51" s="2955">
        <v>1499.41</v>
      </c>
      <c r="AL51" s="2955" t="s">
        <v>1327</v>
      </c>
      <c r="AM51" s="2955" t="s">
        <v>1327</v>
      </c>
      <c r="AN51" s="2955">
        <v>0.09</v>
      </c>
      <c r="AO51" s="2955" t="s">
        <v>3128</v>
      </c>
      <c r="AP51" s="2955" t="s">
        <v>1327</v>
      </c>
      <c r="AQ51" s="2955" t="s">
        <v>1327</v>
      </c>
      <c r="AR51" s="2955" t="s">
        <v>1327</v>
      </c>
      <c r="AS51" s="2955" t="s">
        <v>3311</v>
      </c>
    </row>
  </sheetData>
  <autoFilter ref="A1:A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8" t="str">
        <f>IF(项目基本情况!B9="房地产市场价值","估价结果一览表","结果表-2")</f>
        <v>估价结果一览表</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房地产市场价值</v>
      </c>
      <c r="I2" s="2979"/>
    </row>
    <row r="3" spans="1:9" ht="15.6">
      <c r="A3" s="2980"/>
      <c r="B3" s="2980"/>
      <c r="C3" s="2980"/>
      <c r="D3" s="1047" t="s">
        <v>1634</v>
      </c>
      <c r="E3" s="1047" t="s">
        <v>1640</v>
      </c>
      <c r="F3" s="1047" t="s">
        <v>1634</v>
      </c>
      <c r="G3" s="1047" t="s">
        <v>1635</v>
      </c>
      <c r="H3" s="1047" t="s">
        <v>1634</v>
      </c>
      <c r="I3" s="1047" t="s">
        <v>1635</v>
      </c>
    </row>
    <row r="4" spans="1:9" ht="45">
      <c r="A4" s="1974" t="str">
        <f>项目基本情况!S2</f>
        <v xml:space="preserve"> 海南省海口市出让国有建设用地使用权及在建建筑物房地产</v>
      </c>
      <c r="B4" s="1047">
        <f>项目基本情况!C17</f>
        <v>138723.22</v>
      </c>
      <c r="C4" s="1047">
        <f>项目基本情况!C18</f>
        <v>3794.16</v>
      </c>
      <c r="D4" s="1047">
        <f ca="1">结果表!D118</f>
        <v>48349</v>
      </c>
      <c r="E4" s="1047">
        <f ca="1">结果表!E118</f>
        <v>3485</v>
      </c>
      <c r="F4" s="1047">
        <f ca="1">结果表!F118</f>
        <v>132059</v>
      </c>
      <c r="G4" s="1047">
        <f ca="1">结果表!G118</f>
        <v>9520</v>
      </c>
      <c r="H4" s="1047">
        <f ca="1">结果表!H118</f>
        <v>180408</v>
      </c>
      <c r="I4" s="1047">
        <f ca="1">结果表!I118</f>
        <v>13005</v>
      </c>
    </row>
    <row r="5" spans="1:9" ht="30" customHeight="1">
      <c r="A5" s="2980" t="s">
        <v>1636</v>
      </c>
      <c r="B5" s="2980"/>
      <c r="C5" s="2980"/>
      <c r="D5" s="2981" t="str">
        <f ca="1">结果表!D119</f>
        <v>肆亿捌仟叁佰肆拾玖万元整</v>
      </c>
      <c r="E5" s="2981"/>
      <c r="F5" s="2981" t="str">
        <f ca="1">结果表!F119</f>
        <v>壹拾叁亿贰仟零伍拾玖万元整</v>
      </c>
      <c r="G5" s="2981"/>
      <c r="H5" s="2981" t="str">
        <f ca="1">结果表!H119</f>
        <v>壹拾捌亿零肆佰零捌万元整</v>
      </c>
      <c r="I5" s="2981"/>
    </row>
    <row r="6" spans="1:9" ht="15.6">
      <c r="A6" s="2982" t="str">
        <f>结果表!A120</f>
        <v/>
      </c>
      <c r="B6" s="2982"/>
      <c r="C6" s="2982"/>
      <c r="D6" s="2982">
        <f>结果表!D120</f>
        <v>0</v>
      </c>
      <c r="E6" s="2982"/>
      <c r="F6" s="2982"/>
      <c r="G6" s="2982"/>
      <c r="H6" s="2982"/>
      <c r="I6" s="2982"/>
    </row>
    <row r="7" spans="1:9" ht="15">
      <c r="A7" s="2980" t="s">
        <v>1636</v>
      </c>
      <c r="B7" s="2980"/>
      <c r="C7" s="2980"/>
      <c r="D7" s="2983" t="str">
        <f>结果表!D121</f>
        <v>零元整</v>
      </c>
      <c r="E7" s="2984"/>
      <c r="F7" s="2984"/>
      <c r="G7" s="2984"/>
      <c r="H7" s="2984"/>
      <c r="I7" s="2985"/>
    </row>
    <row r="8" spans="1:9" ht="15.6">
      <c r="A8" s="2982" t="str">
        <f>结果表!A122</f>
        <v/>
      </c>
      <c r="B8" s="2982"/>
      <c r="C8" s="2982"/>
      <c r="D8" s="2982">
        <f ca="1">结果表!D122</f>
        <v>180408</v>
      </c>
      <c r="E8" s="2982"/>
      <c r="F8" s="2982"/>
      <c r="G8" s="2982"/>
      <c r="H8" s="2982"/>
      <c r="I8" s="2982"/>
    </row>
    <row r="9" spans="1:9" ht="15">
      <c r="A9" s="2980" t="s">
        <v>1636</v>
      </c>
      <c r="B9" s="2980"/>
      <c r="C9" s="2980"/>
      <c r="D9" s="2981" t="str">
        <f ca="1">结果表!D123</f>
        <v>壹拾捌亿零肆佰零捌万元整</v>
      </c>
      <c r="E9" s="2981"/>
      <c r="F9" s="2981"/>
      <c r="G9" s="2981"/>
      <c r="H9" s="2981"/>
      <c r="I9" s="2981"/>
    </row>
    <row r="10" spans="1:9" ht="15.6">
      <c r="A10" s="2982" t="str">
        <f>结果表!A124</f>
        <v/>
      </c>
      <c r="B10" s="2982"/>
      <c r="C10" s="2982"/>
      <c r="D10" s="2982" t="str">
        <f>结果表!D124</f>
        <v>——</v>
      </c>
      <c r="E10" s="2982"/>
      <c r="F10" s="2982"/>
      <c r="G10" s="2982"/>
      <c r="H10" s="2982"/>
      <c r="I10" s="2982"/>
    </row>
    <row r="11" spans="1:9" ht="15">
      <c r="A11" s="2980" t="s">
        <v>1636</v>
      </c>
      <c r="B11" s="2980"/>
      <c r="C11" s="2980"/>
      <c r="D11" s="2981" t="e">
        <f>结果表!D125</f>
        <v>#VALUE!</v>
      </c>
      <c r="E11" s="2981"/>
      <c r="F11" s="2981"/>
      <c r="G11" s="2981"/>
      <c r="H11" s="2981"/>
      <c r="I11" s="2981"/>
    </row>
    <row r="12" spans="1:9" ht="15.6">
      <c r="A12" s="2982" t="str">
        <f>结果表!A126</f>
        <v/>
      </c>
      <c r="B12" s="2982"/>
      <c r="C12" s="2982"/>
      <c r="D12" s="2982" t="str">
        <f>结果表!D126</f>
        <v>——</v>
      </c>
      <c r="E12" s="2982"/>
      <c r="F12" s="2982"/>
      <c r="G12" s="2982"/>
      <c r="H12" s="2982"/>
      <c r="I12" s="2982"/>
    </row>
    <row r="13" spans="1:9" ht="15.6" thickBot="1">
      <c r="A13" s="2986" t="s">
        <v>1636</v>
      </c>
      <c r="B13" s="2986"/>
      <c r="C13" s="2986"/>
      <c r="D13" s="2987" t="e">
        <f>结果表!D127</f>
        <v>#VALUE!</v>
      </c>
      <c r="E13" s="2987"/>
      <c r="F13" s="2987"/>
      <c r="G13" s="2987"/>
      <c r="H13" s="2987"/>
      <c r="I13" s="2987"/>
    </row>
    <row r="14" spans="1:9" ht="14.4" thickTop="1">
      <c r="A14" s="2988" t="s">
        <v>1641</v>
      </c>
      <c r="B14" s="2988"/>
      <c r="C14" s="2988"/>
      <c r="D14" s="2988"/>
      <c r="E14" s="2988"/>
      <c r="F14" s="2988"/>
      <c r="G14" s="2988"/>
      <c r="H14" s="2988"/>
      <c r="I14" s="2988"/>
    </row>
    <row r="16" spans="1:9" ht="17.399999999999999">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89" t="s">
        <v>1658</v>
      </c>
      <c r="B1" s="2989"/>
      <c r="C1" s="2989"/>
      <c r="D1" s="2989"/>
    </row>
    <row r="2" spans="1:4" ht="17.399999999999999">
      <c r="A2" s="2990" t="s">
        <v>1642</v>
      </c>
      <c r="B2" s="2990"/>
      <c r="C2" s="2990"/>
      <c r="D2" s="2990"/>
    </row>
    <row r="3" spans="1:4" ht="17.399999999999999">
      <c r="A3" s="1978" t="s">
        <v>1643</v>
      </c>
      <c r="B3" s="1978" t="s">
        <v>1644</v>
      </c>
      <c r="C3" s="1978" t="s">
        <v>1645</v>
      </c>
      <c r="D3" s="1978" t="s">
        <v>1646</v>
      </c>
    </row>
    <row r="4" spans="1:4" ht="56.25" customHeight="1">
      <c r="A4" s="1979" t="str">
        <f>项目基本情况!B4</f>
        <v>梁津</v>
      </c>
      <c r="B4" s="1980">
        <f ca="1">项目基本情况!C4</f>
        <v>1119970066</v>
      </c>
      <c r="C4" s="1981"/>
      <c r="D4" s="1982" t="s">
        <v>1647</v>
      </c>
    </row>
    <row r="5" spans="1:4" ht="56.25" customHeight="1">
      <c r="A5" s="1979" t="str">
        <f>项目基本情况!D4</f>
        <v>王鹏</v>
      </c>
      <c r="B5" s="1980">
        <f ca="1">项目基本情况!E4</f>
        <v>1120050019</v>
      </c>
      <c r="C5" s="1983"/>
      <c r="D5" s="1982" t="s">
        <v>1647</v>
      </c>
    </row>
    <row r="6" spans="1:4" ht="17.399999999999999">
      <c r="A6" s="2990" t="s">
        <v>1648</v>
      </c>
      <c r="B6" s="2990"/>
      <c r="C6" s="2990"/>
      <c r="D6" s="2990"/>
    </row>
    <row r="7" spans="1:4" ht="17.399999999999999">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7.399999999999999">
      <c r="A10" s="1985" t="s">
        <v>1650</v>
      </c>
      <c r="B10" s="728"/>
      <c r="C10" s="728"/>
      <c r="D10" s="728"/>
    </row>
    <row r="11" spans="1:4" ht="30" customHeight="1">
      <c r="A11" s="2991" t="s">
        <v>1651</v>
      </c>
      <c r="B11" s="2992"/>
      <c r="C11" s="2992"/>
      <c r="D11" s="2992"/>
    </row>
    <row r="12" spans="1:4" ht="15.6">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92" t="str">
        <f>IF(项目基本情况!B8="抵押","3.抵押双方在办理抵押登记手续时，应使用本公司出具的正式《房地产评估报告》，特提醒报告使用者注意。","——")</f>
        <v>——</v>
      </c>
      <c r="B13" s="2993"/>
      <c r="C13" s="2993"/>
      <c r="D13" s="2993"/>
    </row>
    <row r="14" spans="1:4" ht="15.75" customHeight="1">
      <c r="A14" s="2992" t="str">
        <f>IF(项目基本情况!B8="抵押","4.本次评估估价师所知悉的法定优先受偿款情况说明如下：","——")</f>
        <v>——</v>
      </c>
      <c r="B14" s="2993"/>
      <c r="C14" s="2993"/>
      <c r="D14" s="2993"/>
    </row>
    <row r="15" spans="1:4" ht="42" customHeight="1">
      <c r="A15" s="2992" t="str">
        <f>IF(项目基本情况!B8="抵押","（1）"&amp;CONCATENATE(项目基本情况!L20,项目基本情况!L21,项目基本情况!L22),"——")</f>
        <v>——</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1654</v>
      </c>
      <c r="B22" s="2997"/>
      <c r="C22" s="2997"/>
      <c r="D22" s="2997"/>
    </row>
    <row r="23" spans="1:4">
      <c r="A23" s="1986"/>
      <c r="B23" s="1958"/>
      <c r="C23" s="1958"/>
      <c r="D23" s="1958"/>
    </row>
    <row r="24" spans="1:4">
      <c r="A24" s="1986"/>
      <c r="B24" s="1958"/>
      <c r="C24" s="1958"/>
      <c r="D24" s="1958"/>
    </row>
    <row r="25" spans="1:4" ht="17.399999999999999">
      <c r="A25" s="1987" t="s">
        <v>1655</v>
      </c>
    </row>
    <row r="26" spans="1:4" ht="17.399999999999999">
      <c r="A26" s="1956"/>
    </row>
    <row r="27" spans="1:4" ht="17.399999999999999">
      <c r="A27" s="1956" t="s">
        <v>1656</v>
      </c>
    </row>
    <row r="30" spans="1:4" ht="17.399999999999999">
      <c r="D30" s="1987"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4.4">
      <c r="A15" s="3003" t="s">
        <v>1665</v>
      </c>
      <c r="B15" s="2998" t="s">
        <v>136</v>
      </c>
      <c r="C15" s="2999"/>
    </row>
    <row r="16" spans="1:7" ht="14.4">
      <c r="A16" s="3004"/>
      <c r="B16" s="2998" t="s">
        <v>69</v>
      </c>
      <c r="C16" s="2999"/>
    </row>
    <row r="17" spans="1:3" ht="14.4">
      <c r="A17" s="3004"/>
      <c r="B17" s="3001" t="s">
        <v>1666</v>
      </c>
      <c r="C17" s="2001" t="s">
        <v>1665</v>
      </c>
    </row>
    <row r="18" spans="1:3" ht="14.4">
      <c r="A18" s="3004"/>
      <c r="B18" s="3001"/>
      <c r="C18" s="2001" t="s">
        <v>1667</v>
      </c>
    </row>
    <row r="19" spans="1:3" ht="14.4">
      <c r="A19" s="3004"/>
      <c r="B19" s="3001"/>
      <c r="C19" s="2001" t="s">
        <v>1668</v>
      </c>
    </row>
    <row r="20" spans="1:3" ht="14.4">
      <c r="A20" s="3005"/>
      <c r="B20" s="3000" t="s">
        <v>1669</v>
      </c>
      <c r="C20" s="2999"/>
    </row>
    <row r="21" spans="1:3" ht="14.4">
      <c r="A21" s="2002" t="s">
        <v>1670</v>
      </c>
      <c r="B21" s="2003"/>
      <c r="C21" s="2004"/>
    </row>
    <row r="22" spans="1:3" ht="14.4">
      <c r="A22" s="3002" t="s">
        <v>1671</v>
      </c>
      <c r="B22" s="3000" t="s">
        <v>1672</v>
      </c>
      <c r="C22" s="2999"/>
    </row>
    <row r="23" spans="1:3" ht="14.4">
      <c r="A23" s="3002"/>
      <c r="B23" s="3000" t="s">
        <v>1673</v>
      </c>
      <c r="C23" s="2999"/>
    </row>
    <row r="24" spans="1:3" ht="14.4">
      <c r="A24" s="3002"/>
      <c r="B24" s="3000" t="s">
        <v>1674</v>
      </c>
      <c r="C24" s="2999"/>
    </row>
    <row r="25" spans="1:3" ht="14.4">
      <c r="A25" s="3002"/>
      <c r="B25" s="3001" t="s">
        <v>1675</v>
      </c>
      <c r="C25" s="2001" t="s">
        <v>1676</v>
      </c>
    </row>
    <row r="26" spans="1:3" ht="14.4">
      <c r="A26" s="3002"/>
      <c r="B26" s="3001"/>
      <c r="C26" s="2001" t="s">
        <v>1677</v>
      </c>
    </row>
    <row r="27" spans="1:3" ht="14.4">
      <c r="A27" s="3002"/>
      <c r="B27" s="3001"/>
      <c r="C27" s="2001" t="s">
        <v>1678</v>
      </c>
    </row>
    <row r="28" spans="1:3" ht="14.4">
      <c r="A28" s="3002"/>
      <c r="B28" s="3001"/>
      <c r="C28" s="2001" t="s">
        <v>1679</v>
      </c>
    </row>
    <row r="29" spans="1:3" ht="14.4">
      <c r="A29" s="3002"/>
      <c r="B29" s="3001"/>
      <c r="C29" s="2001" t="s">
        <v>1680</v>
      </c>
    </row>
    <row r="30" spans="1:3" ht="14.4">
      <c r="A30" s="3002"/>
      <c r="B30" s="3001"/>
      <c r="C30" s="2001" t="s">
        <v>1681</v>
      </c>
    </row>
    <row r="31" spans="1:3" ht="14.4">
      <c r="A31" s="3002"/>
      <c r="B31" s="3001"/>
      <c r="C31" s="2001" t="s">
        <v>1682</v>
      </c>
    </row>
    <row r="32" spans="1:3" ht="14.4">
      <c r="A32" s="3002"/>
      <c r="B32" s="3001"/>
      <c r="C32" s="2001" t="s">
        <v>1683</v>
      </c>
    </row>
    <row r="33" spans="1:3" ht="14.4">
      <c r="A33" s="3002"/>
      <c r="B33" s="3001"/>
      <c r="C33" s="2001" t="s">
        <v>1684</v>
      </c>
    </row>
    <row r="34" spans="1:3">
      <c r="A34" s="2005" t="s">
        <v>76</v>
      </c>
    </row>
    <row r="37" spans="1:3">
      <c r="A37" s="2005" t="s">
        <v>1685</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43492</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t="str">
        <f ca="1">IF(C10&lt;B2,"已过期",1120060040)</f>
        <v>已过期</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c r="B12" s="1025"/>
      <c r="C12" s="2941"/>
      <c r="D12" s="1703"/>
      <c r="E12" s="1025"/>
      <c r="F12" s="1033"/>
    </row>
    <row r="13" spans="1:6" ht="24" customHeight="1">
      <c r="A13" s="1703" t="s">
        <v>840</v>
      </c>
      <c r="B13" s="1025">
        <f ca="1">IF(C13&lt;B2,"已过期",1120070131)</f>
        <v>1120070131</v>
      </c>
      <c r="C13" s="2350">
        <v>43814</v>
      </c>
      <c r="D13" s="2353" t="s">
        <v>840</v>
      </c>
      <c r="E13" s="1025">
        <f ca="1">IF(F13&lt;B2,"已过期",2014110011)</f>
        <v>2014110011</v>
      </c>
      <c r="F13" s="1033">
        <v>49302</v>
      </c>
    </row>
    <row r="14" spans="1:6" ht="24" customHeight="1">
      <c r="A14" s="1703" t="s">
        <v>3047</v>
      </c>
      <c r="B14" s="1025">
        <f ca="1">IF(C14&lt;B2,"已过期",1120040230)</f>
        <v>1120040230</v>
      </c>
      <c r="C14" s="2350">
        <v>43835</v>
      </c>
      <c r="D14" s="2353" t="s">
        <v>3047</v>
      </c>
      <c r="E14" s="1025">
        <f ca="1">IF(F14&lt;B2,"已过期",98030020)</f>
        <v>98030020</v>
      </c>
      <c r="F14" s="1033">
        <v>47118</v>
      </c>
    </row>
    <row r="15" spans="1:6" ht="24" customHeight="1">
      <c r="A15" s="1704" t="s">
        <v>3048</v>
      </c>
      <c r="B15" s="1025">
        <f ca="1">IF(C15&lt;B2,"已过期",1120070085)</f>
        <v>1120070085</v>
      </c>
      <c r="C15" s="2350">
        <v>43814</v>
      </c>
      <c r="D15" s="2354" t="s">
        <v>3048</v>
      </c>
      <c r="E15" s="1025">
        <f ca="1">IF(F15&lt;B2,"已过期",2004110128)</f>
        <v>2004110128</v>
      </c>
      <c r="F15" s="1026">
        <v>47118</v>
      </c>
    </row>
    <row r="16" spans="1:6" ht="24" customHeight="1">
      <c r="A16" s="1703" t="s">
        <v>3049</v>
      </c>
      <c r="B16" s="1025">
        <f ca="1">IF(C16&lt;B2,"已过期",1120140022)</f>
        <v>1120140022</v>
      </c>
      <c r="C16" s="2941">
        <v>44029</v>
      </c>
      <c r="D16" s="2353" t="s">
        <v>3049</v>
      </c>
      <c r="E16" s="1025">
        <f ca="1">IF(F16&lt;B2,"已过期",2008110059)</f>
        <v>2008110059</v>
      </c>
      <c r="F16" s="1033">
        <v>47177</v>
      </c>
    </row>
    <row r="17" spans="1:7" ht="24" customHeight="1">
      <c r="A17" s="1703"/>
      <c r="B17" s="1025"/>
      <c r="C17" s="2350"/>
      <c r="D17" s="2353" t="s">
        <v>3050</v>
      </c>
      <c r="E17" s="1025">
        <f ca="1">IF(F17&lt;B2,"已过期",2014110076)</f>
        <v>2014110076</v>
      </c>
      <c r="F17" s="1033">
        <v>49302</v>
      </c>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841</v>
      </c>
      <c r="E21" s="1025">
        <f ca="1">IF(F21&lt;B2,"已过期",2011110090)</f>
        <v>2011110090</v>
      </c>
      <c r="F21" s="1033">
        <v>48302</v>
      </c>
    </row>
    <row r="22" spans="1:7" ht="24" customHeight="1">
      <c r="A22" s="1703" t="s">
        <v>842</v>
      </c>
      <c r="B22" s="1025">
        <f ca="1">IF(C22&lt;B2,"已过期",1120020033)</f>
        <v>1120020033</v>
      </c>
      <c r="C22" s="2941">
        <v>44339</v>
      </c>
      <c r="D22" s="2353" t="s">
        <v>842</v>
      </c>
      <c r="E22" s="1025">
        <f ca="1">IF(F22&lt;B2,"已过期",2000110137)</f>
        <v>2000110137</v>
      </c>
      <c r="F22" s="1033">
        <v>46387</v>
      </c>
    </row>
    <row r="23" spans="1:7" ht="24" customHeight="1">
      <c r="A23" s="1703"/>
      <c r="B23" s="1025"/>
      <c r="C23" s="2350"/>
      <c r="D23" s="2353"/>
      <c r="E23" s="1025"/>
      <c r="F23" s="1025"/>
    </row>
    <row r="24" spans="1:7" s="1027" customFormat="1" ht="24" customHeight="1">
      <c r="A24" s="1704" t="s">
        <v>1329</v>
      </c>
      <c r="B24" s="1704" t="s">
        <v>1329</v>
      </c>
      <c r="C24" s="2351" t="s">
        <v>1329</v>
      </c>
      <c r="D24" s="2354" t="s">
        <v>1329</v>
      </c>
      <c r="E24" s="1704" t="s">
        <v>1329</v>
      </c>
      <c r="F24" s="1704" t="s">
        <v>1329</v>
      </c>
    </row>
    <row r="25" spans="1:7" ht="24" customHeight="1">
      <c r="A25" s="3006" t="s">
        <v>843</v>
      </c>
      <c r="B25" s="3006"/>
      <c r="C25" s="3006"/>
      <c r="D25" s="3006"/>
      <c r="E25" s="3006"/>
      <c r="F25" s="3006"/>
      <c r="G25" s="3006"/>
    </row>
    <row r="26" spans="1:7" s="1028" customFormat="1" ht="24" customHeight="1">
      <c r="A26" s="3007" t="s">
        <v>844</v>
      </c>
      <c r="B26" s="3007"/>
      <c r="C26" s="3008"/>
      <c r="D26" s="3009" t="s">
        <v>845</v>
      </c>
      <c r="E26" s="3007"/>
      <c r="F26" s="3007"/>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办公及酒店案例</vt:lpstr>
      <vt:lpstr>土地比较法-住宅、综合</vt:lpstr>
      <vt:lpstr>基准地价修正</vt:lpstr>
      <vt:lpstr>修正</vt:lpstr>
      <vt:lpstr>容积率修正</vt:lpstr>
      <vt:lpstr>土地比较法-工业</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2019-01-27T06:48:42Z</dcterms:modified>
</cp:coreProperties>
</file>