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610" windowWidth="19230" windowHeight="561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办公" sheetId="34" r:id="rId31"/>
    <sheet name="不动产收益法" sheetId="15" r:id="rId32"/>
    <sheet name="酒店收入计算" sheetId="57" state="hidden" r:id="rId33"/>
    <sheet name="成本逼近法" sheetId="11" state="hidden" r:id="rId34"/>
    <sheet name="不动产比较法-商业" sheetId="33"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'数据-基础表'!$A$1:$AU$15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6" i="66" l="1"/>
  <c r="B16" i="66"/>
  <c r="C15" i="66"/>
  <c r="B15" i="66"/>
  <c r="D16" i="66" l="1"/>
  <c r="D15" i="66" l="1"/>
  <c r="F50" i="9" l="1"/>
  <c r="F49" i="9" l="1"/>
  <c r="C48" i="9" l="1"/>
  <c r="AL13" i="3" l="1"/>
  <c r="E48" i="34" l="1"/>
  <c r="G48" i="34"/>
  <c r="I48" i="34"/>
  <c r="K17" i="34"/>
  <c r="K10" i="34"/>
  <c r="I20" i="34"/>
  <c r="G20" i="34"/>
  <c r="E20" i="34"/>
  <c r="I18" i="34"/>
  <c r="G18" i="34"/>
  <c r="E18" i="34"/>
  <c r="C20" i="34"/>
  <c r="C18" i="34"/>
  <c r="K23" i="21"/>
  <c r="K23" i="34" s="1"/>
  <c r="K21" i="21"/>
  <c r="K21" i="34" s="1"/>
  <c r="K19" i="21"/>
  <c r="K19" i="34" s="1"/>
  <c r="K17" i="21"/>
  <c r="K15" i="21"/>
  <c r="I27" i="21"/>
  <c r="G27" i="21"/>
  <c r="E27" i="21"/>
  <c r="I24" i="21"/>
  <c r="G24" i="21"/>
  <c r="E24" i="21"/>
  <c r="E20" i="21"/>
  <c r="G20" i="21"/>
  <c r="I20" i="21"/>
  <c r="I18" i="21"/>
  <c r="G18" i="21"/>
  <c r="E18" i="21"/>
  <c r="I16" i="21"/>
  <c r="G16" i="21"/>
  <c r="E16" i="21"/>
  <c r="I47" i="21"/>
  <c r="G47" i="21"/>
  <c r="E47" i="21"/>
  <c r="C27" i="21"/>
  <c r="C24" i="21"/>
  <c r="C22" i="21"/>
  <c r="C20" i="21"/>
  <c r="C18" i="21"/>
  <c r="C16" i="21"/>
  <c r="F21" i="6"/>
  <c r="F20" i="6"/>
  <c r="C21" i="6"/>
  <c r="C20" i="6"/>
  <c r="C19" i="6"/>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1" i="67"/>
  <c r="F14" i="67"/>
  <c r="F11" i="67"/>
  <c r="B9" i="67"/>
  <c r="E9" i="67"/>
  <c r="B13" i="67"/>
  <c r="F12" i="67"/>
  <c r="B11" i="67"/>
  <c r="E14" i="67"/>
  <c r="B12" i="67"/>
  <c r="B14" i="67"/>
  <c r="B10" i="67"/>
  <c r="F13" i="67"/>
  <c r="E8" i="67"/>
  <c r="E12" i="67"/>
  <c r="B8" i="67"/>
  <c r="E13" i="67"/>
  <c r="F10" i="67"/>
  <c r="F8" i="67"/>
  <c r="E10" i="67"/>
  <c r="F9" i="67"/>
  <c r="K75" i="9" l="1"/>
  <c r="K6" i="4"/>
  <c r="O76" i="9" s="1"/>
  <c r="L76" i="9" l="1"/>
  <c r="K76" i="9"/>
  <c r="K77" i="9" s="1"/>
  <c r="K79" i="9" s="1"/>
  <c r="K81" i="9" s="1"/>
  <c r="B22" i="31"/>
  <c r="E17" i="66" l="1"/>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4" i="65"/>
  <c r="N6" i="65"/>
  <c r="N5" i="65"/>
  <c r="I6" i="65"/>
  <c r="C4" i="65" l="1"/>
  <c r="B39" i="1" s="1"/>
  <c r="J4" i="65"/>
  <c r="I7" i="65"/>
  <c r="J6" i="65"/>
  <c r="J7" i="65"/>
  <c r="I5" i="65"/>
  <c r="I4" i="65"/>
  <c r="J5" i="65"/>
  <c r="J3" i="65"/>
  <c r="I3" i="65"/>
  <c r="E20" i="46" l="1"/>
  <c r="J1" i="65"/>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Y10" i="59" l="1"/>
  <c r="Z10" i="59" s="1"/>
  <c r="AB10" i="59"/>
  <c r="Y11" i="59"/>
  <c r="Z11" i="59" s="1"/>
  <c r="AB11" i="59"/>
  <c r="Y12" i="59"/>
  <c r="Z12" i="59" s="1"/>
  <c r="AB12" i="59"/>
  <c r="X14" i="59"/>
  <c r="AA14" i="59"/>
  <c r="X15" i="59"/>
  <c r="AA15" i="59"/>
  <c r="X16" i="59"/>
  <c r="AA16" i="59"/>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C10" i="59"/>
  <c r="Y9" i="59"/>
  <c r="Z9"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21" i="21" l="1"/>
  <c r="AA21" i="21" s="1"/>
  <c r="F31" i="39"/>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AZ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1" i="6"/>
  <c r="K8" i="1" s="1"/>
  <c r="M8" i="1" s="1"/>
  <c r="O8" i="1" s="1"/>
  <c r="P8" i="1" s="1"/>
  <c r="E22" i="6"/>
  <c r="E23" i="6"/>
  <c r="E24" i="6"/>
  <c r="E25" i="6"/>
  <c r="E26" i="6"/>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J29" i="33" s="1"/>
  <c r="B74" i="33"/>
  <c r="B72" i="33"/>
  <c r="B70" i="33"/>
  <c r="F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F34" i="35"/>
  <c r="AA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Q33" i="34"/>
  <c r="Z33" i="34" s="1"/>
  <c r="Q32" i="34"/>
  <c r="Z32" i="34" s="1"/>
  <c r="Q31" i="34"/>
  <c r="Z31" i="34"/>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Q11" i="33"/>
  <c r="Z11" i="33" s="1"/>
  <c r="Q10" i="33"/>
  <c r="Z10" i="33" s="1"/>
  <c r="Q9" i="33"/>
  <c r="Z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J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F28" i="21" s="1"/>
  <c r="B90" i="21"/>
  <c r="J27" i="21" s="1"/>
  <c r="W27" i="21" s="1"/>
  <c r="B74" i="21"/>
  <c r="B72" i="21"/>
  <c r="H13" i="21" s="1"/>
  <c r="U13" i="21" s="1"/>
  <c r="B70" i="21"/>
  <c r="J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H38" i="21"/>
  <c r="AB38" i="21" s="1"/>
  <c r="F32" i="21"/>
  <c r="S32" i="21" s="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AA41" i="21"/>
  <c r="W41" i="21"/>
  <c r="S10" i="39"/>
  <c r="E103" i="37"/>
  <c r="F103" i="37" s="1"/>
  <c r="G103" i="37" s="1"/>
  <c r="H103" i="37" s="1"/>
  <c r="I103" i="37" s="1"/>
  <c r="J103" i="37" s="1"/>
  <c r="K103" i="37" s="1"/>
  <c r="L103" i="37" s="1"/>
  <c r="M103" i="37" s="1"/>
  <c r="F29" i="36"/>
  <c r="AA29" i="36" s="1"/>
  <c r="F16" i="36"/>
  <c r="AA16" i="36" s="1"/>
  <c r="U22" i="36"/>
  <c r="W22" i="36"/>
  <c r="U26" i="36"/>
  <c r="AC31" i="36"/>
  <c r="J33" i="36"/>
  <c r="W33" i="36" s="1"/>
  <c r="AC27" i="35"/>
  <c r="U31" i="35"/>
  <c r="S34" i="35"/>
  <c r="S31" i="35"/>
  <c r="W31" i="35"/>
  <c r="F36" i="34"/>
  <c r="S36" i="34" s="1"/>
  <c r="W39" i="34"/>
  <c r="H39" i="33"/>
  <c r="AB39" i="33" s="1"/>
  <c r="S40" i="33"/>
  <c r="W33" i="33"/>
  <c r="S8" i="21"/>
  <c r="W8" i="21"/>
  <c r="H39" i="37"/>
  <c r="AB39" i="37" s="1"/>
  <c r="S10" i="40"/>
  <c r="W10" i="40"/>
  <c r="S11" i="40"/>
  <c r="U11" i="40"/>
  <c r="S36" i="40"/>
  <c r="U36" i="40"/>
  <c r="S36" i="39"/>
  <c r="C29" i="39"/>
  <c r="U36" i="39"/>
  <c r="S42" i="39"/>
  <c r="H32" i="33"/>
  <c r="AB32" i="33" s="1"/>
  <c r="J27" i="36"/>
  <c r="W27" i="36" s="1"/>
  <c r="J34" i="36"/>
  <c r="W34" i="36" s="1"/>
  <c r="J30" i="35"/>
  <c r="W30" i="35" s="1"/>
  <c r="F22" i="35"/>
  <c r="AA22" i="35" s="1"/>
  <c r="H10" i="35"/>
  <c r="U10" i="35" s="1"/>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3" i="34" s="1"/>
  <c r="U42" i="34"/>
  <c r="E114" i="34"/>
  <c r="H36" i="34"/>
  <c r="U36" i="34" s="1"/>
  <c r="F33" i="34"/>
  <c r="S33" i="34" s="1"/>
  <c r="F19" i="34"/>
  <c r="AA19" i="34" s="1"/>
  <c r="J10" i="34"/>
  <c r="AC10" i="34" s="1"/>
  <c r="W8" i="34"/>
  <c r="S38" i="33"/>
  <c r="E113" i="33"/>
  <c r="F113" i="33" s="1"/>
  <c r="G113" i="33" s="1"/>
  <c r="H113" i="33" s="1"/>
  <c r="I113" i="33" s="1"/>
  <c r="J113" i="33" s="1"/>
  <c r="K113" i="33" s="1"/>
  <c r="L113" i="33" s="1"/>
  <c r="M113" i="33" s="1"/>
  <c r="F36" i="33"/>
  <c r="S36" i="33" s="1"/>
  <c r="F19" i="33"/>
  <c r="S19" i="33" s="1"/>
  <c r="J19" i="33"/>
  <c r="AB30" i="36"/>
  <c r="AC34" i="36"/>
  <c r="H29" i="35"/>
  <c r="U34" i="37"/>
  <c r="S34" i="37"/>
  <c r="AA34" i="37"/>
  <c r="AB42" i="34"/>
  <c r="AB40" i="34"/>
  <c r="W36" i="34"/>
  <c r="H37" i="33"/>
  <c r="AB37" i="33" s="1"/>
  <c r="S37" i="33"/>
  <c r="AC42" i="34"/>
  <c r="W42" i="34"/>
  <c r="AA42" i="34"/>
  <c r="S42" i="34"/>
  <c r="AC38" i="34"/>
  <c r="W38" i="34"/>
  <c r="AA38" i="34"/>
  <c r="S38" i="34"/>
  <c r="J37" i="33"/>
  <c r="W37" i="33" s="1"/>
  <c r="J42" i="21"/>
  <c r="AC42" i="21" s="1"/>
  <c r="J44" i="34"/>
  <c r="AC44" i="34" s="1"/>
  <c r="J10" i="35"/>
  <c r="W10" i="35" s="1"/>
  <c r="AL5" i="3"/>
  <c r="BQ13" i="3"/>
  <c r="BL572" i="3"/>
  <c r="J14" i="21"/>
  <c r="F14" i="21"/>
  <c r="AA14" i="21" s="1"/>
  <c r="H14" i="21"/>
  <c r="U14" i="21" s="1"/>
  <c r="H28" i="21"/>
  <c r="AB28" i="21" s="1"/>
  <c r="H30" i="21"/>
  <c r="U30" i="21" s="1"/>
  <c r="F30" i="21"/>
  <c r="S30" i="21" s="1"/>
  <c r="J30" i="21"/>
  <c r="H44" i="21"/>
  <c r="U44" i="21" s="1"/>
  <c r="F44" i="21"/>
  <c r="AA44" i="21" s="1"/>
  <c r="H46" i="21"/>
  <c r="AB46" i="21" s="1"/>
  <c r="J46" i="21"/>
  <c r="W46" i="21" s="1"/>
  <c r="F46" i="21"/>
  <c r="AA46" i="21" s="1"/>
  <c r="F28" i="33"/>
  <c r="AA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27" i="33"/>
  <c r="S27" i="33" s="1"/>
  <c r="F13" i="33"/>
  <c r="S13" i="33" s="1"/>
  <c r="J31" i="33"/>
  <c r="AC31" i="33" s="1"/>
  <c r="J45" i="33"/>
  <c r="W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40" i="37"/>
  <c r="J36" i="37"/>
  <c r="AC36" i="37" s="1"/>
  <c r="AB28" i="36"/>
  <c r="AC30" i="21"/>
  <c r="W30" i="21"/>
  <c r="W14" i="21"/>
  <c r="AC14" i="21"/>
  <c r="W31" i="34"/>
  <c r="U36" i="37"/>
  <c r="S45" i="21"/>
  <c r="AB44" i="21"/>
  <c r="G529" i="3"/>
  <c r="G521" i="3"/>
  <c r="G517" i="3"/>
  <c r="G513" i="3"/>
  <c r="G508" i="3"/>
  <c r="G499" i="3"/>
  <c r="G493" i="3"/>
  <c r="G485" i="3"/>
  <c r="G17" i="3"/>
  <c r="G565" i="3"/>
  <c r="G561" i="3"/>
  <c r="G557" i="3"/>
  <c r="G549" i="3"/>
  <c r="G545" i="3"/>
  <c r="G539" i="3"/>
  <c r="BL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BA557" i="3"/>
  <c r="BA555" i="3"/>
  <c r="AZ555" i="3" s="1"/>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AZ508" i="3" s="1"/>
  <c r="BA502" i="3"/>
  <c r="BA498" i="3"/>
  <c r="BA492" i="3"/>
  <c r="BA488" i="3"/>
  <c r="BA484" i="3"/>
  <c r="BA20" i="3"/>
  <c r="G566" i="3"/>
  <c r="G562" i="3"/>
  <c r="G560" i="3"/>
  <c r="G558" i="3"/>
  <c r="G556" i="3"/>
  <c r="G554" i="3"/>
  <c r="G550" i="3"/>
  <c r="G546" i="3"/>
  <c r="BL543" i="3"/>
  <c r="AZ543" i="3" s="1"/>
  <c r="BA542" i="3"/>
  <c r="AC542" i="3"/>
  <c r="G542" i="3" s="1"/>
  <c r="BQ542" i="3"/>
  <c r="BL542" i="3"/>
  <c r="AZ542" i="3" s="1"/>
  <c r="BQ568" i="3"/>
  <c r="BQ566" i="3"/>
  <c r="BQ564" i="3"/>
  <c r="BL564" i="3" s="1"/>
  <c r="BQ562" i="3"/>
  <c r="BL562" i="3" s="1"/>
  <c r="BQ560" i="3"/>
  <c r="BL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C33" i="36"/>
  <c r="S27" i="37"/>
  <c r="U39" i="37"/>
  <c r="AC8" i="37"/>
  <c r="AC36" i="34"/>
  <c r="AB8" i="34"/>
  <c r="AA13" i="33"/>
  <c r="S39" i="33"/>
  <c r="F43" i="33"/>
  <c r="AA43" i="33" s="1"/>
  <c r="AA23" i="37"/>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AZ327" i="3" s="1"/>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AZ376" i="3" s="1"/>
  <c r="BA377" i="3"/>
  <c r="BL377" i="3"/>
  <c r="G378" i="3"/>
  <c r="BA379" i="3"/>
  <c r="BA114" i="3"/>
  <c r="BL115" i="3"/>
  <c r="G116" i="3"/>
  <c r="BA118" i="3"/>
  <c r="AZ118" i="3" s="1"/>
  <c r="BL119" i="3"/>
  <c r="G120" i="3"/>
  <c r="BA122" i="3"/>
  <c r="BL123" i="3"/>
  <c r="G124" i="3"/>
  <c r="BA126" i="3"/>
  <c r="AZ126" i="3" s="1"/>
  <c r="BL127" i="3"/>
  <c r="G128" i="3"/>
  <c r="BA130" i="3"/>
  <c r="BL131" i="3"/>
  <c r="G132" i="3"/>
  <c r="BA134" i="3"/>
  <c r="BL135" i="3"/>
  <c r="G136" i="3"/>
  <c r="BA138" i="3"/>
  <c r="BL139" i="3"/>
  <c r="G140" i="3"/>
  <c r="BA142" i="3"/>
  <c r="BL143" i="3"/>
  <c r="G144" i="3"/>
  <c r="BA146" i="3"/>
  <c r="BL147" i="3"/>
  <c r="G148" i="3"/>
  <c r="BA150" i="3"/>
  <c r="AZ150" i="3" s="1"/>
  <c r="BL151" i="3"/>
  <c r="BA153" i="3"/>
  <c r="AZ153" i="3" s="1"/>
  <c r="BL154" i="3"/>
  <c r="G155" i="3"/>
  <c r="BA157" i="3"/>
  <c r="BL158" i="3"/>
  <c r="G159" i="3"/>
  <c r="BA161" i="3"/>
  <c r="BL162" i="3"/>
  <c r="G163" i="3"/>
  <c r="BA165" i="3"/>
  <c r="BL166" i="3"/>
  <c r="G167" i="3"/>
  <c r="BA169" i="3"/>
  <c r="BL170" i="3"/>
  <c r="G171" i="3"/>
  <c r="BA173" i="3"/>
  <c r="BL174" i="3"/>
  <c r="AZ174" i="3" s="1"/>
  <c r="G175" i="3"/>
  <c r="BA178" i="3"/>
  <c r="BL179" i="3"/>
  <c r="G180" i="3"/>
  <c r="AZ55" i="3"/>
  <c r="AZ59" i="3"/>
  <c r="G537" i="3"/>
  <c r="BL181" i="3"/>
  <c r="G182" i="3"/>
  <c r="BA184" i="3"/>
  <c r="BL185" i="3"/>
  <c r="G186" i="3"/>
  <c r="BA188" i="3"/>
  <c r="AZ188" i="3" s="1"/>
  <c r="BL189" i="3"/>
  <c r="G190" i="3"/>
  <c r="BA192" i="3"/>
  <c r="AZ192" i="3" s="1"/>
  <c r="BL193" i="3"/>
  <c r="AZ193" i="3" s="1"/>
  <c r="G194" i="3"/>
  <c r="BA196" i="3"/>
  <c r="AZ196" i="3" s="1"/>
  <c r="BL197" i="3"/>
  <c r="G198" i="3"/>
  <c r="BA200" i="3"/>
  <c r="BL201" i="3"/>
  <c r="AZ82" i="3"/>
  <c r="G491" i="3"/>
  <c r="BA298" i="3"/>
  <c r="AZ298" i="3" s="1"/>
  <c r="BA299" i="3"/>
  <c r="BL299" i="3"/>
  <c r="G300" i="3"/>
  <c r="G303" i="3"/>
  <c r="BL304" i="3"/>
  <c r="BA306" i="3"/>
  <c r="BA307" i="3"/>
  <c r="BL307" i="3"/>
  <c r="G308" i="3"/>
  <c r="G319" i="3"/>
  <c r="BL320" i="3"/>
  <c r="BA322" i="3"/>
  <c r="AZ322" i="3" s="1"/>
  <c r="BA323" i="3"/>
  <c r="AZ323" i="3"/>
  <c r="BL323" i="3"/>
  <c r="G324" i="3"/>
  <c r="G327" i="3"/>
  <c r="BL328" i="3"/>
  <c r="BA330" i="3"/>
  <c r="BA331" i="3"/>
  <c r="BL331" i="3"/>
  <c r="G332" i="3"/>
  <c r="G335" i="3"/>
  <c r="BL336" i="3"/>
  <c r="BA338" i="3"/>
  <c r="AZ338" i="3" s="1"/>
  <c r="BA339" i="3"/>
  <c r="AZ339" i="3" s="1"/>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BA365" i="3"/>
  <c r="BL365" i="3"/>
  <c r="G366" i="3"/>
  <c r="G369" i="3"/>
  <c r="BL370" i="3"/>
  <c r="BA372" i="3"/>
  <c r="BA373" i="3"/>
  <c r="BL373" i="3"/>
  <c r="G374" i="3"/>
  <c r="G377" i="3"/>
  <c r="BL378" i="3"/>
  <c r="BA380" i="3"/>
  <c r="BA381" i="3"/>
  <c r="AZ381" i="3" s="1"/>
  <c r="BL381" i="3"/>
  <c r="G382" i="3"/>
  <c r="G385" i="3"/>
  <c r="AZ203" i="3"/>
  <c r="G523" i="3"/>
  <c r="BL297" i="3"/>
  <c r="AZ297" i="3" s="1"/>
  <c r="G298" i="3"/>
  <c r="BA300" i="3"/>
  <c r="AZ300" i="3" s="1"/>
  <c r="BL301" i="3"/>
  <c r="G302" i="3"/>
  <c r="BA304" i="3"/>
  <c r="AZ304" i="3" s="1"/>
  <c r="BL305" i="3"/>
  <c r="G306" i="3"/>
  <c r="BA308" i="3"/>
  <c r="BL309" i="3"/>
  <c r="G310" i="3"/>
  <c r="BA310" i="3"/>
  <c r="BL311" i="3"/>
  <c r="G312" i="3"/>
  <c r="BA312" i="3"/>
  <c r="AZ312" i="3" s="1"/>
  <c r="BL313" i="3"/>
  <c r="G314" i="3"/>
  <c r="BA314" i="3"/>
  <c r="BL315" i="3"/>
  <c r="AZ315" i="3" s="1"/>
  <c r="G316" i="3"/>
  <c r="BA316" i="3"/>
  <c r="AZ316" i="3" s="1"/>
  <c r="BL317" i="3"/>
  <c r="G318" i="3"/>
  <c r="BA320" i="3"/>
  <c r="AZ320" i="3" s="1"/>
  <c r="BL321" i="3"/>
  <c r="AZ321" i="3" s="1"/>
  <c r="G322" i="3"/>
  <c r="BA324" i="3"/>
  <c r="BL325" i="3"/>
  <c r="G326" i="3"/>
  <c r="BA328" i="3"/>
  <c r="BL329" i="3"/>
  <c r="G330" i="3"/>
  <c r="BA332" i="3"/>
  <c r="BL333" i="3"/>
  <c r="G334" i="3"/>
  <c r="BA336" i="3"/>
  <c r="BL337" i="3"/>
  <c r="G338" i="3"/>
  <c r="BA340" i="3"/>
  <c r="AZ340" i="3" s="1"/>
  <c r="BL341" i="3"/>
  <c r="AZ341" i="3" s="1"/>
  <c r="G342" i="3"/>
  <c r="BA344" i="3"/>
  <c r="BL345" i="3"/>
  <c r="G346" i="3"/>
  <c r="BA348" i="3"/>
  <c r="BL349" i="3"/>
  <c r="G350" i="3"/>
  <c r="BA352" i="3"/>
  <c r="BL353" i="3"/>
  <c r="G354" i="3"/>
  <c r="BA356" i="3"/>
  <c r="BL357" i="3"/>
  <c r="G358" i="3"/>
  <c r="BA362" i="3"/>
  <c r="BL363" i="3"/>
  <c r="G364" i="3"/>
  <c r="BA366" i="3"/>
  <c r="BL367" i="3"/>
  <c r="AZ229" i="3"/>
  <c r="AZ353" i="3"/>
  <c r="AZ367" i="3"/>
  <c r="G368" i="3"/>
  <c r="BA370" i="3"/>
  <c r="AZ370" i="3" s="1"/>
  <c r="BL371" i="3"/>
  <c r="G372" i="3"/>
  <c r="BA374" i="3"/>
  <c r="BL375" i="3"/>
  <c r="G376" i="3"/>
  <c r="BA378" i="3"/>
  <c r="AZ378" i="3" s="1"/>
  <c r="BL379" i="3"/>
  <c r="G380" i="3"/>
  <c r="BA382" i="3"/>
  <c r="BL383" i="3"/>
  <c r="G384" i="3"/>
  <c r="AZ311" i="3"/>
  <c r="AZ331" i="3"/>
  <c r="AZ426" i="3"/>
  <c r="AZ471"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W25" i="35"/>
  <c r="AZ354" i="3"/>
  <c r="AA36" i="35"/>
  <c r="H11" i="37"/>
  <c r="AB11" i="37" s="1"/>
  <c r="W37" i="37"/>
  <c r="S42" i="33"/>
  <c r="U32" i="33"/>
  <c r="AB17" i="37"/>
  <c r="AZ546" i="3"/>
  <c r="AC10" i="36"/>
  <c r="AB45" i="34"/>
  <c r="AC14" i="37"/>
  <c r="AB35" i="35"/>
  <c r="S25" i="35"/>
  <c r="W44" i="33"/>
  <c r="AC30" i="33"/>
  <c r="W30" i="33"/>
  <c r="AC29" i="37"/>
  <c r="W32" i="36"/>
  <c r="AC32" i="36"/>
  <c r="AB28" i="33"/>
  <c r="J33" i="34"/>
  <c r="AC33" i="34" s="1"/>
  <c r="AB36" i="34"/>
  <c r="J40" i="34"/>
  <c r="W40" i="34" s="1"/>
  <c r="F16" i="35"/>
  <c r="AA16" i="35" s="1"/>
  <c r="S24" i="36"/>
  <c r="W42" i="33"/>
  <c r="J35" i="34"/>
  <c r="W35" i="34" s="1"/>
  <c r="S30" i="36"/>
  <c r="H16" i="36"/>
  <c r="AB16" i="36" s="1"/>
  <c r="H35" i="37"/>
  <c r="AB35" i="37" s="1"/>
  <c r="S26" i="21"/>
  <c r="AB12" i="21"/>
  <c r="H32" i="21"/>
  <c r="U32" i="21" s="1"/>
  <c r="AB26" i="21"/>
  <c r="U26" i="21"/>
  <c r="U39"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G96" i="37" s="1"/>
  <c r="H32" i="37"/>
  <c r="AB32" i="37" s="1"/>
  <c r="F19" i="39"/>
  <c r="S19" i="39" s="1"/>
  <c r="H19" i="39"/>
  <c r="J19" i="39"/>
  <c r="W19" i="39" s="1"/>
  <c r="F43" i="39"/>
  <c r="AA43" i="39" s="1"/>
  <c r="H43" i="39"/>
  <c r="U43" i="39" s="1"/>
  <c r="J43" i="39"/>
  <c r="AC43" i="39" s="1"/>
  <c r="AC27" i="37"/>
  <c r="U25" i="35"/>
  <c r="S45" i="34"/>
  <c r="U31" i="34"/>
  <c r="AC40" i="37"/>
  <c r="W40" i="37"/>
  <c r="W27" i="33"/>
  <c r="S28" i="33"/>
  <c r="S14" i="21"/>
  <c r="AB29" i="35"/>
  <c r="U29" i="35"/>
  <c r="AC19" i="33"/>
  <c r="W19" i="33"/>
  <c r="AB43" i="34"/>
  <c r="AC34" i="37"/>
  <c r="S35" i="37"/>
  <c r="AA35" i="37"/>
  <c r="AB10" i="35"/>
  <c r="AA32" i="21"/>
  <c r="U38" i="21"/>
  <c r="AB34" i="21"/>
  <c r="BL571" i="3"/>
  <c r="BA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BL549" i="3"/>
  <c r="BA549" i="3"/>
  <c r="AZ549" i="3" s="1"/>
  <c r="BL548" i="3"/>
  <c r="BA548" i="3"/>
  <c r="BL547" i="3"/>
  <c r="BA547" i="3"/>
  <c r="AZ547" i="3" s="1"/>
  <c r="BL539" i="3"/>
  <c r="BA539" i="3"/>
  <c r="AZ539" i="3" s="1"/>
  <c r="BA538" i="3"/>
  <c r="BL537" i="3"/>
  <c r="BA537" i="3"/>
  <c r="BL536" i="3"/>
  <c r="AZ536" i="3" s="1"/>
  <c r="BA535" i="3"/>
  <c r="AZ535" i="3" s="1"/>
  <c r="BA534" i="3"/>
  <c r="AZ534" i="3" s="1"/>
  <c r="BA533" i="3"/>
  <c r="AZ533" i="3" s="1"/>
  <c r="BL531" i="3"/>
  <c r="AZ531" i="3" s="1"/>
  <c r="BL530" i="3"/>
  <c r="BA530" i="3"/>
  <c r="AZ530" i="3" s="1"/>
  <c r="BL529" i="3"/>
  <c r="BA529" i="3"/>
  <c r="BL528" i="3"/>
  <c r="AZ528" i="3"/>
  <c r="BA527" i="3"/>
  <c r="AZ527" i="3" s="1"/>
  <c r="BA526" i="3"/>
  <c r="AZ526" i="3" s="1"/>
  <c r="BA525" i="3"/>
  <c r="AZ525" i="3" s="1"/>
  <c r="BL523" i="3"/>
  <c r="BA523" i="3"/>
  <c r="BL522" i="3"/>
  <c r="BA522" i="3"/>
  <c r="BL521" i="3"/>
  <c r="AZ521" i="3" s="1"/>
  <c r="BA519" i="3"/>
  <c r="AZ519" i="3"/>
  <c r="BL518" i="3"/>
  <c r="BA518" i="3"/>
  <c r="BL517" i="3"/>
  <c r="BA517" i="3"/>
  <c r="BL515" i="3"/>
  <c r="BA515" i="3"/>
  <c r="AZ515" i="3" s="1"/>
  <c r="BA514" i="3"/>
  <c r="AZ514" i="3" s="1"/>
  <c r="BL513" i="3"/>
  <c r="BA513" i="3"/>
  <c r="BL512" i="3"/>
  <c r="AZ512" i="3" s="1"/>
  <c r="BA511" i="3"/>
  <c r="AZ511" i="3" s="1"/>
  <c r="BA510" i="3"/>
  <c r="BL509" i="3"/>
  <c r="AZ509" i="3" s="1"/>
  <c r="BL507" i="3"/>
  <c r="BA507" i="3"/>
  <c r="AZ507" i="3"/>
  <c r="BL506" i="3"/>
  <c r="BA506" i="3"/>
  <c r="BL505" i="3"/>
  <c r="AZ505" i="3" s="1"/>
  <c r="BL504" i="3"/>
  <c r="BA504" i="3"/>
  <c r="BA503" i="3"/>
  <c r="AZ503" i="3" s="1"/>
  <c r="BA500" i="3"/>
  <c r="BL499" i="3"/>
  <c r="BA499" i="3"/>
  <c r="BL498" i="3"/>
  <c r="AZ498" i="3" s="1"/>
  <c r="BL497" i="3"/>
  <c r="BA497" i="3"/>
  <c r="AZ497" i="3" s="1"/>
  <c r="BL496" i="3"/>
  <c r="BA496" i="3"/>
  <c r="BA495" i="3"/>
  <c r="AZ495" i="3" s="1"/>
  <c r="BL494" i="3"/>
  <c r="BA494" i="3"/>
  <c r="G494" i="3"/>
  <c r="BA491" i="3"/>
  <c r="AZ491" i="3"/>
  <c r="BL490" i="3"/>
  <c r="BA490" i="3"/>
  <c r="AZ490" i="3" s="1"/>
  <c r="BL489" i="3"/>
  <c r="BA489" i="3"/>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S34" i="21"/>
  <c r="AC36" i="21"/>
  <c r="AB8" i="33"/>
  <c r="U8" i="33"/>
  <c r="E106" i="33"/>
  <c r="F106" i="33" s="1"/>
  <c r="G106" i="33" s="1"/>
  <c r="H106" i="33" s="1"/>
  <c r="I106" i="33" s="1"/>
  <c r="J106" i="33" s="1"/>
  <c r="K106" i="33" s="1"/>
  <c r="L106" i="33" s="1"/>
  <c r="M106" i="33" s="1"/>
  <c r="H34" i="33"/>
  <c r="U34" i="33" s="1"/>
  <c r="F34" i="33"/>
  <c r="S34" i="33" s="1"/>
  <c r="E121" i="33"/>
  <c r="F41" i="33"/>
  <c r="AA39" i="34"/>
  <c r="S39" i="34"/>
  <c r="S43" i="34"/>
  <c r="E78" i="34"/>
  <c r="F78" i="34" s="1"/>
  <c r="G78" i="34" s="1"/>
  <c r="F15" i="34"/>
  <c r="AA15" i="34" s="1"/>
  <c r="AC28" i="35"/>
  <c r="W28" i="35"/>
  <c r="J20" i="35"/>
  <c r="AC20" i="35" s="1"/>
  <c r="E72" i="35"/>
  <c r="F72" i="35" s="1"/>
  <c r="G72" i="35" s="1"/>
  <c r="H22" i="35"/>
  <c r="AB22" i="35" s="1"/>
  <c r="H23" i="35"/>
  <c r="F23" i="35"/>
  <c r="AA23" i="35" s="1"/>
  <c r="U31" i="36"/>
  <c r="S8" i="37"/>
  <c r="AA8" i="37"/>
  <c r="F14" i="39"/>
  <c r="AA14" i="39" s="1"/>
  <c r="H14" i="39"/>
  <c r="AB14" i="39" s="1"/>
  <c r="J14" i="39"/>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W41" i="40" s="1"/>
  <c r="H36" i="33"/>
  <c r="AB36" i="33" s="1"/>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F94" i="40" s="1"/>
  <c r="G94" i="40" s="1"/>
  <c r="J25" i="40"/>
  <c r="AC25" i="40" s="1"/>
  <c r="J32" i="40"/>
  <c r="H32" i="40"/>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B41" i="1"/>
  <c r="J42" i="40"/>
  <c r="AC42" i="40" s="1"/>
  <c r="J40" i="40"/>
  <c r="AC40" i="40" s="1"/>
  <c r="J34" i="40"/>
  <c r="AC34" i="40" s="1"/>
  <c r="H16" i="40"/>
  <c r="H14" i="40"/>
  <c r="U14" i="40" s="1"/>
  <c r="F32" i="40"/>
  <c r="AA32" i="40" s="1"/>
  <c r="AZ436" i="3"/>
  <c r="M1" i="46"/>
  <c r="M6" i="46"/>
  <c r="M10" i="46"/>
  <c r="N2" i="46"/>
  <c r="N5" i="46"/>
  <c r="F58" i="46" s="1"/>
  <c r="F47" i="46"/>
  <c r="N7" i="46"/>
  <c r="AZ456" i="3"/>
  <c r="AZ247" i="3"/>
  <c r="AZ263" i="3"/>
  <c r="M7" i="46"/>
  <c r="M11" i="46"/>
  <c r="N3" i="46"/>
  <c r="N6" i="46"/>
  <c r="N10" i="46"/>
  <c r="AZ56" i="3"/>
  <c r="J13" i="40"/>
  <c r="W13" i="40" s="1"/>
  <c r="W40" i="40"/>
  <c r="AC14" i="40"/>
  <c r="S33" i="40"/>
  <c r="AC41" i="40"/>
  <c r="J23" i="40"/>
  <c r="AC23" i="40" s="1"/>
  <c r="F23" i="40"/>
  <c r="S23" i="40" s="1"/>
  <c r="S23" i="39"/>
  <c r="U23" i="35"/>
  <c r="AB23" i="35"/>
  <c r="H20" i="35"/>
  <c r="AB20" i="35" s="1"/>
  <c r="F20" i="35"/>
  <c r="S20" i="35" s="1"/>
  <c r="H15" i="34"/>
  <c r="AB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B37" i="39"/>
  <c r="U39" i="39"/>
  <c r="J29" i="39"/>
  <c r="AC29" i="39" s="1"/>
  <c r="AB33" i="36"/>
  <c r="AA14" i="35"/>
  <c r="S14" i="35"/>
  <c r="AB19" i="39"/>
  <c r="U19" i="39"/>
  <c r="U46" i="34"/>
  <c r="AC30" i="34"/>
  <c r="AA14" i="34"/>
  <c r="W12" i="34"/>
  <c r="U29" i="33"/>
  <c r="AC13" i="33"/>
  <c r="W32" i="33"/>
  <c r="H15" i="33"/>
  <c r="U15" i="33" s="1"/>
  <c r="AA11" i="33"/>
  <c r="W34" i="40"/>
  <c r="AC16" i="40"/>
  <c r="H25" i="40"/>
  <c r="AB25" i="40" s="1"/>
  <c r="U47" i="39"/>
  <c r="J36" i="33"/>
  <c r="W36" i="33" s="1"/>
  <c r="S41" i="40"/>
  <c r="AB23" i="40"/>
  <c r="U27" i="39"/>
  <c r="H23" i="39"/>
  <c r="AB23" i="39" s="1"/>
  <c r="J23" i="39"/>
  <c r="AC23" i="39" s="1"/>
  <c r="F97" i="39"/>
  <c r="G97" i="39" s="1"/>
  <c r="S16" i="39"/>
  <c r="AA34" i="33"/>
  <c r="J34" i="33"/>
  <c r="AC34" i="33" s="1"/>
  <c r="U30" i="40"/>
  <c r="AA37" i="39"/>
  <c r="W29" i="35"/>
  <c r="AC39" i="39"/>
  <c r="AA39" i="39"/>
  <c r="U3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H96" i="37"/>
  <c r="I96" i="37" s="1"/>
  <c r="J96" i="37" s="1"/>
  <c r="K96" i="37" s="1"/>
  <c r="L96" i="37" s="1"/>
  <c r="M96" i="37" s="1"/>
  <c r="F32" i="37"/>
  <c r="S32" i="37" s="1"/>
  <c r="U11" i="35"/>
  <c r="AB11" i="35"/>
  <c r="S46" i="34"/>
  <c r="U32" i="34"/>
  <c r="U14" i="34"/>
  <c r="AC14" i="34"/>
  <c r="U12" i="34"/>
  <c r="AB13" i="33"/>
  <c r="F17" i="34"/>
  <c r="AA17" i="34" s="1"/>
  <c r="J17" i="34"/>
  <c r="AC17" i="34" s="1"/>
  <c r="J35" i="33"/>
  <c r="W35" i="33" s="1"/>
  <c r="S32" i="33"/>
  <c r="AC15" i="33"/>
  <c r="H11" i="33"/>
  <c r="U11" i="33" s="1"/>
  <c r="H10" i="33"/>
  <c r="U10" i="33" s="1"/>
  <c r="I66" i="33"/>
  <c r="J10" i="33"/>
  <c r="AC10" i="33" s="1"/>
  <c r="U11" i="37"/>
  <c r="AC16" i="35"/>
  <c r="AC13" i="40"/>
  <c r="AC36" i="33"/>
  <c r="F25" i="40"/>
  <c r="AA25" i="40" s="1"/>
  <c r="J11" i="33"/>
  <c r="W11" i="33" s="1"/>
  <c r="H33" i="37"/>
  <c r="AB33" i="37" s="1"/>
  <c r="U20" i="35"/>
  <c r="W23" i="40"/>
  <c r="D73" i="9"/>
  <c r="N73" i="9" s="1"/>
  <c r="AP11" i="1"/>
  <c r="J51" i="15"/>
  <c r="B11" i="1"/>
  <c r="E11" i="1" s="1"/>
  <c r="K11" i="1"/>
  <c r="M11" i="1" s="1"/>
  <c r="B9" i="1"/>
  <c r="E9" i="1" s="1"/>
  <c r="K9" i="1"/>
  <c r="M9" i="1" s="1"/>
  <c r="B7" i="1"/>
  <c r="E7" i="1" s="1"/>
  <c r="K7" i="1"/>
  <c r="C20" i="43"/>
  <c r="E2" i="65"/>
  <c r="U34" i="40" l="1"/>
  <c r="AB34" i="40"/>
  <c r="AC32" i="40"/>
  <c r="W32" i="40"/>
  <c r="AC15" i="40"/>
  <c r="W15" i="40"/>
  <c r="AC14" i="39"/>
  <c r="W14" i="39"/>
  <c r="S41" i="33"/>
  <c r="AA41" i="33"/>
  <c r="U31" i="21"/>
  <c r="AB31" i="21"/>
  <c r="W45" i="21"/>
  <c r="AC45" i="21"/>
  <c r="AB42" i="40"/>
  <c r="U41" i="40"/>
  <c r="AB16" i="40"/>
  <c r="U16" i="40"/>
  <c r="F27" i="43"/>
  <c r="F66" i="9"/>
  <c r="P72" i="9" s="1"/>
  <c r="S29" i="35"/>
  <c r="AA29" i="35"/>
  <c r="S11" i="36"/>
  <c r="AA11" i="36"/>
  <c r="AZ363" i="3"/>
  <c r="W29" i="33"/>
  <c r="AC29" i="33"/>
  <c r="AZ345" i="3"/>
  <c r="AZ305" i="3"/>
  <c r="BF5" i="3"/>
  <c r="G391" i="3"/>
  <c r="BL396" i="3"/>
  <c r="BA397" i="3"/>
  <c r="G398" i="3"/>
  <c r="BA400" i="3"/>
  <c r="G403" i="3"/>
  <c r="BA405" i="3"/>
  <c r="BL405" i="3"/>
  <c r="BA406" i="3"/>
  <c r="G407" i="3"/>
  <c r="G409" i="3"/>
  <c r="BA411" i="3"/>
  <c r="BL411" i="3"/>
  <c r="BA412" i="3"/>
  <c r="BL412" i="3"/>
  <c r="G413" i="3"/>
  <c r="G417" i="3"/>
  <c r="BL419" i="3"/>
  <c r="G423" i="3"/>
  <c r="BA424" i="3"/>
  <c r="G425" i="3"/>
  <c r="G429" i="3"/>
  <c r="BA433" i="3"/>
  <c r="BL433" i="3"/>
  <c r="BA434" i="3"/>
  <c r="G435" i="3"/>
  <c r="G439" i="3"/>
  <c r="G443" i="3"/>
  <c r="BL445" i="3"/>
  <c r="BA446" i="3"/>
  <c r="AZ446" i="3" s="1"/>
  <c r="BL446" i="3"/>
  <c r="G447" i="3"/>
  <c r="G451" i="3"/>
  <c r="BL453" i="3"/>
  <c r="BA454" i="3"/>
  <c r="BL454" i="3"/>
  <c r="G455" i="3"/>
  <c r="G459" i="3"/>
  <c r="BA463" i="3"/>
  <c r="BL463" i="3"/>
  <c r="BA464" i="3"/>
  <c r="BL464" i="3"/>
  <c r="G465" i="3"/>
  <c r="G469" i="3"/>
  <c r="BA470" i="3"/>
  <c r="G471" i="3"/>
  <c r="G475" i="3"/>
  <c r="BA475" i="3"/>
  <c r="G476" i="3"/>
  <c r="BA479" i="3"/>
  <c r="AZ479" i="3" s="1"/>
  <c r="BL479" i="3"/>
  <c r="BA480" i="3"/>
  <c r="G301" i="3"/>
  <c r="BA301" i="3"/>
  <c r="BL306" i="3"/>
  <c r="AZ306" i="3" s="1"/>
  <c r="BL308" i="3"/>
  <c r="AZ308" i="3" s="1"/>
  <c r="G313" i="3"/>
  <c r="G315" i="3"/>
  <c r="BL319" i="3"/>
  <c r="G325" i="3"/>
  <c r="BA325" i="3"/>
  <c r="AZ325" i="3" s="1"/>
  <c r="BL330" i="3"/>
  <c r="BA337" i="3"/>
  <c r="AZ337" i="3" s="1"/>
  <c r="G347" i="3"/>
  <c r="G349" i="3"/>
  <c r="BL351" i="3"/>
  <c r="G363" i="3"/>
  <c r="G365" i="3"/>
  <c r="G370" i="3"/>
  <c r="G383" i="3"/>
  <c r="BA383" i="3"/>
  <c r="AZ383" i="3" s="1"/>
  <c r="BA384" i="3"/>
  <c r="BL386" i="3"/>
  <c r="G387" i="3"/>
  <c r="BA387" i="3"/>
  <c r="BA211" i="3"/>
  <c r="BA212" i="3"/>
  <c r="G213" i="3"/>
  <c r="G217" i="3"/>
  <c r="BA217" i="3"/>
  <c r="G218" i="3"/>
  <c r="BA218" i="3"/>
  <c r="AZ218" i="3" s="1"/>
  <c r="G222" i="3"/>
  <c r="BL222" i="3"/>
  <c r="BA223" i="3"/>
  <c r="AZ223" i="3" s="1"/>
  <c r="BA227" i="3"/>
  <c r="BL227" i="3"/>
  <c r="BL231" i="3"/>
  <c r="G233" i="3"/>
  <c r="BA233" i="3"/>
  <c r="G234" i="3"/>
  <c r="BA234" i="3"/>
  <c r="AZ234" i="3" s="1"/>
  <c r="G238" i="3"/>
  <c r="BL238" i="3"/>
  <c r="BA239" i="3"/>
  <c r="AZ239" i="3" s="1"/>
  <c r="G244" i="3"/>
  <c r="BA244" i="3"/>
  <c r="G245" i="3"/>
  <c r="G249" i="3"/>
  <c r="BA249" i="3"/>
  <c r="G250" i="3"/>
  <c r="BA250" i="3"/>
  <c r="AZ250" i="3" s="1"/>
  <c r="G254" i="3"/>
  <c r="BL254" i="3"/>
  <c r="BA255" i="3"/>
  <c r="AZ255" i="3" s="1"/>
  <c r="G260" i="3"/>
  <c r="BA260" i="3"/>
  <c r="G261" i="3"/>
  <c r="G265" i="3"/>
  <c r="BA265" i="3"/>
  <c r="G266" i="3"/>
  <c r="BA266" i="3"/>
  <c r="AZ266" i="3" s="1"/>
  <c r="AZ489" i="3"/>
  <c r="AZ522" i="3"/>
  <c r="AZ523" i="3"/>
  <c r="AZ571" i="3"/>
  <c r="AC5" i="3"/>
  <c r="I13" i="3" s="1"/>
  <c r="AC11" i="36"/>
  <c r="AA30" i="33"/>
  <c r="AZ374" i="3"/>
  <c r="AZ362" i="3"/>
  <c r="AZ352" i="3"/>
  <c r="AZ344" i="3"/>
  <c r="AZ336" i="3"/>
  <c r="AZ301" i="3"/>
  <c r="AZ373" i="3"/>
  <c r="AZ372" i="3"/>
  <c r="AZ330" i="3"/>
  <c r="AZ379" i="3"/>
  <c r="AZ361" i="3"/>
  <c r="AZ326" i="3"/>
  <c r="S10" i="35"/>
  <c r="AC45" i="33"/>
  <c r="AC37" i="33"/>
  <c r="AB43" i="33"/>
  <c r="AZ564" i="3"/>
  <c r="AZ557" i="3"/>
  <c r="AZ569" i="3"/>
  <c r="U28" i="21"/>
  <c r="AC13" i="36"/>
  <c r="S46" i="33"/>
  <c r="U46" i="21"/>
  <c r="F45" i="33"/>
  <c r="H31" i="33"/>
  <c r="U31" i="33" s="1"/>
  <c r="H45" i="21"/>
  <c r="U45" i="21" s="1"/>
  <c r="F29" i="21"/>
  <c r="S29" i="21" s="1"/>
  <c r="F13" i="21"/>
  <c r="AA13" i="21" s="1"/>
  <c r="J28" i="33"/>
  <c r="W28" i="33" s="1"/>
  <c r="H26" i="33"/>
  <c r="U26" i="33" s="1"/>
  <c r="J28" i="34"/>
  <c r="W28" i="34" s="1"/>
  <c r="U29" i="36"/>
  <c r="AC35" i="21"/>
  <c r="AB27" i="35"/>
  <c r="U38" i="33"/>
  <c r="S33" i="33"/>
  <c r="F26" i="33"/>
  <c r="AA26" i="33" s="1"/>
  <c r="W24" i="35"/>
  <c r="F39" i="37"/>
  <c r="U30" i="37"/>
  <c r="G572" i="3"/>
  <c r="G570" i="3"/>
  <c r="BG5" i="3"/>
  <c r="H44" i="34"/>
  <c r="AB44" i="34" s="1"/>
  <c r="F9" i="35"/>
  <c r="F9" i="36"/>
  <c r="AA9" i="36" s="1"/>
  <c r="J23" i="36"/>
  <c r="F25" i="37"/>
  <c r="G555" i="3"/>
  <c r="G543" i="3"/>
  <c r="G531" i="3"/>
  <c r="G520" i="3"/>
  <c r="G505" i="3"/>
  <c r="G504" i="3"/>
  <c r="G503" i="3"/>
  <c r="G500" i="3"/>
  <c r="G482" i="3"/>
  <c r="G269" i="3"/>
  <c r="BA269" i="3"/>
  <c r="AZ269" i="3" s="1"/>
  <c r="BA270" i="3"/>
  <c r="G271" i="3"/>
  <c r="BA271" i="3"/>
  <c r="G272" i="3"/>
  <c r="BA272" i="3"/>
  <c r="AZ272" i="3" s="1"/>
  <c r="BA273" i="3"/>
  <c r="G274" i="3"/>
  <c r="BA275" i="3"/>
  <c r="BL275" i="3"/>
  <c r="BL276" i="3"/>
  <c r="BL280" i="3"/>
  <c r="G281" i="3"/>
  <c r="BL281" i="3"/>
  <c r="BA282" i="3"/>
  <c r="AZ282" i="3" s="1"/>
  <c r="BA290" i="3"/>
  <c r="BL290" i="3"/>
  <c r="BA291" i="3"/>
  <c r="G292" i="3"/>
  <c r="BL292" i="3"/>
  <c r="BL293" i="3"/>
  <c r="G113" i="3"/>
  <c r="BL113" i="3"/>
  <c r="BL114" i="3"/>
  <c r="AZ114" i="3" s="1"/>
  <c r="BL116" i="3"/>
  <c r="BA117" i="3"/>
  <c r="BL117" i="3"/>
  <c r="BA120" i="3"/>
  <c r="G126" i="3"/>
  <c r="G129" i="3"/>
  <c r="BL129" i="3"/>
  <c r="BL130" i="3"/>
  <c r="AZ130" i="3" s="1"/>
  <c r="BL132" i="3"/>
  <c r="BL134" i="3"/>
  <c r="AZ134" i="3" s="1"/>
  <c r="BA136" i="3"/>
  <c r="G137" i="3"/>
  <c r="BL138" i="3"/>
  <c r="AZ138" i="3" s="1"/>
  <c r="G139" i="3"/>
  <c r="BA140" i="3"/>
  <c r="G141" i="3"/>
  <c r="BA141" i="3"/>
  <c r="G142" i="3"/>
  <c r="G143" i="3"/>
  <c r="BA147" i="3"/>
  <c r="AZ147" i="3" s="1"/>
  <c r="G150" i="3"/>
  <c r="G153" i="3"/>
  <c r="G156" i="3"/>
  <c r="BL156" i="3"/>
  <c r="BL157" i="3"/>
  <c r="AZ157" i="3" s="1"/>
  <c r="BL159" i="3"/>
  <c r="BL160" i="3"/>
  <c r="BL161" i="3"/>
  <c r="AZ161" i="3" s="1"/>
  <c r="BA162" i="3"/>
  <c r="AZ162" i="3" s="1"/>
  <c r="BA163" i="3"/>
  <c r="G164" i="3"/>
  <c r="BL165" i="3"/>
  <c r="AZ165" i="3" s="1"/>
  <c r="G166" i="3"/>
  <c r="BA167" i="3"/>
  <c r="G168" i="3"/>
  <c r="BA168" i="3"/>
  <c r="G169" i="3"/>
  <c r="G170" i="3"/>
  <c r="BL171" i="3"/>
  <c r="G177" i="3"/>
  <c r="BA177" i="3"/>
  <c r="G178" i="3"/>
  <c r="G179" i="3"/>
  <c r="BA180" i="3"/>
  <c r="AZ180" i="3" s="1"/>
  <c r="BA181" i="3"/>
  <c r="AZ181" i="3" s="1"/>
  <c r="BA187" i="3"/>
  <c r="BL187" i="3"/>
  <c r="BA189" i="3"/>
  <c r="AZ189" i="3" s="1"/>
  <c r="G196" i="3"/>
  <c r="G199" i="3"/>
  <c r="BA199" i="3"/>
  <c r="G200" i="3"/>
  <c r="G201" i="3"/>
  <c r="BL26" i="3"/>
  <c r="G27" i="3"/>
  <c r="G31" i="3"/>
  <c r="BA35" i="3"/>
  <c r="AZ35" i="3" s="1"/>
  <c r="BL35" i="3"/>
  <c r="BA36" i="3"/>
  <c r="G37" i="3"/>
  <c r="BA38" i="3"/>
  <c r="AZ38" i="3" s="1"/>
  <c r="BA39" i="3"/>
  <c r="G40" i="3"/>
  <c r="BA41" i="3"/>
  <c r="BL41" i="3"/>
  <c r="BA42" i="3"/>
  <c r="BL42" i="3"/>
  <c r="G43" i="3"/>
  <c r="BA44" i="3"/>
  <c r="BL44" i="3"/>
  <c r="BA45" i="3"/>
  <c r="AZ45" i="3" s="1"/>
  <c r="BL45" i="3"/>
  <c r="G46" i="3"/>
  <c r="G51" i="3"/>
  <c r="BA52" i="3"/>
  <c r="AZ52" i="3" s="1"/>
  <c r="G63" i="3"/>
  <c r="BL63" i="3"/>
  <c r="BA64" i="3"/>
  <c r="AZ64" i="3" s="1"/>
  <c r="G68" i="3"/>
  <c r="BL70" i="3"/>
  <c r="BA71" i="3"/>
  <c r="AZ71" i="3" s="1"/>
  <c r="BL71" i="3"/>
  <c r="G72" i="3"/>
  <c r="BL76" i="3"/>
  <c r="G80" i="3"/>
  <c r="BL80" i="3"/>
  <c r="BL84" i="3"/>
  <c r="G85" i="3"/>
  <c r="BL87" i="3"/>
  <c r="G91" i="3"/>
  <c r="BA92" i="3"/>
  <c r="G93" i="3"/>
  <c r="G97" i="3"/>
  <c r="BA99" i="3"/>
  <c r="BL99" i="3"/>
  <c r="BA100" i="3"/>
  <c r="G101" i="3"/>
  <c r="BA101" i="3"/>
  <c r="G102" i="3"/>
  <c r="BL105" i="3"/>
  <c r="BA106" i="3"/>
  <c r="G107" i="3"/>
  <c r="G109" i="3"/>
  <c r="BL109" i="3"/>
  <c r="BA111" i="3"/>
  <c r="BL111" i="3"/>
  <c r="E26" i="57"/>
  <c r="I10" i="57"/>
  <c r="C7" i="21"/>
  <c r="C58" i="21" s="1"/>
  <c r="D58" i="21" s="1"/>
  <c r="E58" i="21" s="1"/>
  <c r="F58" i="21" s="1"/>
  <c r="G58" i="21" s="1"/>
  <c r="H58" i="21" s="1"/>
  <c r="I58" i="21" s="1"/>
  <c r="J58" i="21" s="1"/>
  <c r="K58" i="21" s="1"/>
  <c r="L58" i="21" s="1"/>
  <c r="M58" i="21" s="1"/>
  <c r="N58" i="21" s="1"/>
  <c r="O58" i="21" s="1"/>
  <c r="C7" i="34"/>
  <c r="C7" i="37"/>
  <c r="C9" i="39"/>
  <c r="C70" i="39" s="1"/>
  <c r="C9" i="40"/>
  <c r="C65" i="40" s="1"/>
  <c r="N67" i="9"/>
  <c r="D38" i="4"/>
  <c r="C39" i="4" s="1"/>
  <c r="AZ502" i="3"/>
  <c r="U36" i="35"/>
  <c r="AB36" i="35"/>
  <c r="AA31" i="33"/>
  <c r="S31" i="33"/>
  <c r="AC12" i="36"/>
  <c r="W12" i="36"/>
  <c r="W35" i="40"/>
  <c r="F71" i="9"/>
  <c r="AZ500" i="3"/>
  <c r="AZ510" i="3"/>
  <c r="AZ552" i="3"/>
  <c r="AZ488" i="3"/>
  <c r="AZ544" i="3"/>
  <c r="AZ550" i="3"/>
  <c r="BA570" i="3"/>
  <c r="AZ570" i="3" s="1"/>
  <c r="J36" i="35"/>
  <c r="G569" i="3"/>
  <c r="G567" i="3"/>
  <c r="G564" i="3"/>
  <c r="G563" i="3"/>
  <c r="G553" i="3"/>
  <c r="G541" i="3"/>
  <c r="G536" i="3"/>
  <c r="G533" i="3"/>
  <c r="G527" i="3"/>
  <c r="G519" i="3"/>
  <c r="G512" i="3"/>
  <c r="G509" i="3"/>
  <c r="G496" i="3"/>
  <c r="G490" i="3"/>
  <c r="AZ496" i="3"/>
  <c r="AZ506" i="3"/>
  <c r="AZ513" i="3"/>
  <c r="AZ518" i="3"/>
  <c r="AZ538" i="3"/>
  <c r="F19" i="6"/>
  <c r="E19" i="6" s="1"/>
  <c r="E32" i="6" s="1"/>
  <c r="BB13" i="3"/>
  <c r="BB5" i="3" s="1"/>
  <c r="AZ356" i="3"/>
  <c r="AZ324" i="3"/>
  <c r="AZ365" i="3"/>
  <c r="AZ347" i="3"/>
  <c r="AZ307" i="3"/>
  <c r="AZ299" i="3"/>
  <c r="AZ377" i="3"/>
  <c r="AZ343" i="3"/>
  <c r="AZ329" i="3"/>
  <c r="AZ303" i="3"/>
  <c r="AZ20" i="3"/>
  <c r="AZ560" i="3"/>
  <c r="AZ484" i="3"/>
  <c r="AZ501" i="3"/>
  <c r="AZ559" i="3"/>
  <c r="U30" i="33"/>
  <c r="AA38" i="37"/>
  <c r="I5" i="3"/>
  <c r="H13" i="3"/>
  <c r="G13" i="3" s="1"/>
  <c r="BA572" i="3"/>
  <c r="AZ572" i="3" s="1"/>
  <c r="G495" i="3"/>
  <c r="G489" i="3"/>
  <c r="G481" i="3"/>
  <c r="K145" i="21"/>
  <c r="BA389" i="3"/>
  <c r="BL390" i="3"/>
  <c r="AZ390" i="3" s="1"/>
  <c r="BA391" i="3"/>
  <c r="G393" i="3"/>
  <c r="BA394" i="3"/>
  <c r="BA396" i="3"/>
  <c r="AZ396" i="3" s="1"/>
  <c r="BA398" i="3"/>
  <c r="BL398" i="3"/>
  <c r="G400" i="3"/>
  <c r="BA401" i="3"/>
  <c r="AZ401" i="3" s="1"/>
  <c r="BL402" i="3"/>
  <c r="BL403" i="3"/>
  <c r="G404" i="3"/>
  <c r="BA407" i="3"/>
  <c r="AZ407" i="3" s="1"/>
  <c r="BL408" i="3"/>
  <c r="BA409" i="3"/>
  <c r="G410" i="3"/>
  <c r="BA413" i="3"/>
  <c r="BL413" i="3"/>
  <c r="BL414" i="3"/>
  <c r="AZ414" i="3" s="1"/>
  <c r="BA415" i="3"/>
  <c r="BL415" i="3"/>
  <c r="G416" i="3"/>
  <c r="BA419" i="3"/>
  <c r="AZ419" i="3" s="1"/>
  <c r="BL420" i="3"/>
  <c r="BA421" i="3"/>
  <c r="BL421" i="3"/>
  <c r="G422" i="3"/>
  <c r="BA423" i="3"/>
  <c r="BL423" i="3"/>
  <c r="G424" i="3"/>
  <c r="BA425" i="3"/>
  <c r="AZ425" i="3" s="1"/>
  <c r="BA427" i="3"/>
  <c r="BL427" i="3"/>
  <c r="G428" i="3"/>
  <c r="BL428" i="3"/>
  <c r="AZ428" i="3" s="1"/>
  <c r="BA429" i="3"/>
  <c r="BL429" i="3"/>
  <c r="G430" i="3"/>
  <c r="BA431" i="3"/>
  <c r="BL431" i="3"/>
  <c r="G432" i="3"/>
  <c r="BA435" i="3"/>
  <c r="AZ435" i="3" s="1"/>
  <c r="BA437" i="3"/>
  <c r="BL437" i="3"/>
  <c r="G438" i="3"/>
  <c r="BL438" i="3"/>
  <c r="AZ438" i="3" s="1"/>
  <c r="BA439" i="3"/>
  <c r="BL439" i="3"/>
  <c r="G440" i="3"/>
  <c r="BA441" i="3"/>
  <c r="BL441" i="3"/>
  <c r="G442" i="3"/>
  <c r="BA445" i="3"/>
  <c r="AZ445" i="3" s="1"/>
  <c r="BA447" i="3"/>
  <c r="BL447" i="3"/>
  <c r="G448" i="3"/>
  <c r="BA449" i="3"/>
  <c r="BL449" i="3"/>
  <c r="G450" i="3"/>
  <c r="BA453" i="3"/>
  <c r="AZ453" i="3" s="1"/>
  <c r="BA455" i="3"/>
  <c r="AZ455" i="3" s="1"/>
  <c r="BA457" i="3"/>
  <c r="BL457" i="3"/>
  <c r="G458" i="3"/>
  <c r="BL458" i="3"/>
  <c r="AZ458" i="3" s="1"/>
  <c r="BA459" i="3"/>
  <c r="BL459" i="3"/>
  <c r="G460" i="3"/>
  <c r="BA461" i="3"/>
  <c r="BL461" i="3"/>
  <c r="G462" i="3"/>
  <c r="BA465" i="3"/>
  <c r="BL465" i="3"/>
  <c r="G466" i="3"/>
  <c r="BL466" i="3"/>
  <c r="AZ466" i="3" s="1"/>
  <c r="BA467" i="3"/>
  <c r="BL467" i="3"/>
  <c r="G468" i="3"/>
  <c r="BA469" i="3"/>
  <c r="BL469" i="3"/>
  <c r="G470" i="3"/>
  <c r="BL472" i="3"/>
  <c r="BL473" i="3"/>
  <c r="BL474" i="3"/>
  <c r="AZ474" i="3" s="1"/>
  <c r="BL475" i="3"/>
  <c r="AZ475" i="3" s="1"/>
  <c r="BA477" i="3"/>
  <c r="AZ477" i="3" s="1"/>
  <c r="G478" i="3"/>
  <c r="BA478" i="3"/>
  <c r="G479" i="3"/>
  <c r="BL480" i="3"/>
  <c r="G305" i="3"/>
  <c r="G307" i="3"/>
  <c r="G309" i="3"/>
  <c r="BL310" i="3"/>
  <c r="AZ310" i="3" s="1"/>
  <c r="BA313" i="3"/>
  <c r="AZ313" i="3" s="1"/>
  <c r="G317" i="3"/>
  <c r="BL318" i="3"/>
  <c r="BL332" i="3"/>
  <c r="AZ332" i="3" s="1"/>
  <c r="BA333" i="3"/>
  <c r="AZ333" i="3" s="1"/>
  <c r="BA334" i="3"/>
  <c r="BA335" i="3"/>
  <c r="AZ335" i="3" s="1"/>
  <c r="G336" i="3"/>
  <c r="G345" i="3"/>
  <c r="BL350" i="3"/>
  <c r="BA357" i="3"/>
  <c r="AZ357" i="3" s="1"/>
  <c r="BA371" i="3"/>
  <c r="AZ371" i="3" s="1"/>
  <c r="BA393" i="3"/>
  <c r="AZ393" i="3" s="1"/>
  <c r="BL395" i="3"/>
  <c r="AZ395" i="3" s="1"/>
  <c r="BA404" i="3"/>
  <c r="AZ404" i="3" s="1"/>
  <c r="AZ408" i="3"/>
  <c r="BA410" i="3"/>
  <c r="AZ410" i="3" s="1"/>
  <c r="BA416" i="3"/>
  <c r="AZ416" i="3" s="1"/>
  <c r="BL418" i="3"/>
  <c r="AZ418" i="3" s="1"/>
  <c r="AZ420" i="3"/>
  <c r="BA422" i="3"/>
  <c r="AZ422" i="3" s="1"/>
  <c r="BL424" i="3"/>
  <c r="AZ424" i="3" s="1"/>
  <c r="BA430" i="3"/>
  <c r="AZ430" i="3" s="1"/>
  <c r="BL432" i="3"/>
  <c r="AZ432" i="3" s="1"/>
  <c r="BL434" i="3"/>
  <c r="AZ434" i="3" s="1"/>
  <c r="BA440" i="3"/>
  <c r="AZ440" i="3" s="1"/>
  <c r="BA442" i="3"/>
  <c r="AZ442" i="3" s="1"/>
  <c r="BL444" i="3"/>
  <c r="AZ444" i="3" s="1"/>
  <c r="BA448" i="3"/>
  <c r="AZ448" i="3" s="1"/>
  <c r="BA450" i="3"/>
  <c r="AZ450" i="3" s="1"/>
  <c r="BL452" i="3"/>
  <c r="AZ452" i="3" s="1"/>
  <c r="BA460" i="3"/>
  <c r="AZ460" i="3" s="1"/>
  <c r="BL462" i="3"/>
  <c r="AZ462" i="3" s="1"/>
  <c r="BA468" i="3"/>
  <c r="AZ468" i="3" s="1"/>
  <c r="BL470" i="3"/>
  <c r="AZ470" i="3" s="1"/>
  <c r="AZ472" i="3"/>
  <c r="AZ473" i="3"/>
  <c r="BA476" i="3"/>
  <c r="AZ476" i="3" s="1"/>
  <c r="BL478" i="3"/>
  <c r="AZ480" i="3"/>
  <c r="BA309" i="3"/>
  <c r="AZ309" i="3" s="1"/>
  <c r="BL314" i="3"/>
  <c r="AZ314" i="3" s="1"/>
  <c r="BA317" i="3"/>
  <c r="AZ317" i="3" s="1"/>
  <c r="BA318" i="3"/>
  <c r="BA319" i="3"/>
  <c r="AZ319" i="3" s="1"/>
  <c r="G320" i="3"/>
  <c r="G329" i="3"/>
  <c r="BL334" i="3"/>
  <c r="BL346" i="3"/>
  <c r="AZ346" i="3" s="1"/>
  <c r="BL348" i="3"/>
  <c r="AZ348" i="3" s="1"/>
  <c r="BA349" i="3"/>
  <c r="AZ349" i="3" s="1"/>
  <c r="BA350" i="3"/>
  <c r="AZ350" i="3" s="1"/>
  <c r="BA351" i="3"/>
  <c r="AZ351" i="3" s="1"/>
  <c r="G352" i="3"/>
  <c r="BL360" i="3"/>
  <c r="AZ360" i="3" s="1"/>
  <c r="G367" i="3"/>
  <c r="BA368" i="3"/>
  <c r="AZ368" i="3" s="1"/>
  <c r="BL369" i="3"/>
  <c r="AZ369" i="3" s="1"/>
  <c r="G379" i="3"/>
  <c r="BL382" i="3"/>
  <c r="AZ382" i="3" s="1"/>
  <c r="BL384" i="3"/>
  <c r="G386" i="3"/>
  <c r="BL387" i="3"/>
  <c r="AZ387" i="3" s="1"/>
  <c r="G207" i="3"/>
  <c r="G208" i="3"/>
  <c r="BA208" i="3"/>
  <c r="G209" i="3"/>
  <c r="BL210" i="3"/>
  <c r="AZ210" i="3" s="1"/>
  <c r="G212" i="3"/>
  <c r="BL213" i="3"/>
  <c r="AZ213" i="3" s="1"/>
  <c r="BA214" i="3"/>
  <c r="AZ214" i="3" s="1"/>
  <c r="G215" i="3"/>
  <c r="G216" i="3"/>
  <c r="BL216" i="3"/>
  <c r="G219" i="3"/>
  <c r="BL219" i="3"/>
  <c r="AZ219" i="3" s="1"/>
  <c r="BL221" i="3"/>
  <c r="AZ221" i="3" s="1"/>
  <c r="BA222" i="3"/>
  <c r="G223" i="3"/>
  <c r="G224" i="3"/>
  <c r="BL224" i="3"/>
  <c r="AZ224" i="3" s="1"/>
  <c r="BA226" i="3"/>
  <c r="AZ226" i="3" s="1"/>
  <c r="BA228" i="3"/>
  <c r="G229" i="3"/>
  <c r="BL230" i="3"/>
  <c r="AZ230" i="3" s="1"/>
  <c r="BA231" i="3"/>
  <c r="AZ231" i="3" s="1"/>
  <c r="G232" i="3"/>
  <c r="BL232" i="3"/>
  <c r="G235" i="3"/>
  <c r="BL235" i="3"/>
  <c r="AZ235" i="3" s="1"/>
  <c r="BL236" i="3"/>
  <c r="AZ236" i="3" s="1"/>
  <c r="BL237" i="3"/>
  <c r="AZ237" i="3" s="1"/>
  <c r="BA238" i="3"/>
  <c r="G239" i="3"/>
  <c r="G240" i="3"/>
  <c r="BL240" i="3"/>
  <c r="AZ240" i="3" s="1"/>
  <c r="BL241" i="3"/>
  <c r="AZ241" i="3" s="1"/>
  <c r="G243" i="3"/>
  <c r="BL243" i="3"/>
  <c r="AZ243" i="3" s="1"/>
  <c r="BL244" i="3"/>
  <c r="AZ244" i="3" s="1"/>
  <c r="BL245" i="3"/>
  <c r="AZ245" i="3" s="1"/>
  <c r="BA246" i="3"/>
  <c r="G247" i="3"/>
  <c r="G248" i="3"/>
  <c r="BL248" i="3"/>
  <c r="AZ248" i="3" s="1"/>
  <c r="BL249" i="3"/>
  <c r="AZ249" i="3" s="1"/>
  <c r="G251" i="3"/>
  <c r="BL251" i="3"/>
  <c r="AZ251" i="3" s="1"/>
  <c r="BL252" i="3"/>
  <c r="AZ252" i="3" s="1"/>
  <c r="BL253" i="3"/>
  <c r="AZ253" i="3" s="1"/>
  <c r="BA254" i="3"/>
  <c r="G255" i="3"/>
  <c r="G256" i="3"/>
  <c r="BL256" i="3"/>
  <c r="AZ256" i="3" s="1"/>
  <c r="BL257" i="3"/>
  <c r="AZ257" i="3" s="1"/>
  <c r="G259" i="3"/>
  <c r="BL259" i="3"/>
  <c r="AZ259" i="3" s="1"/>
  <c r="BL260" i="3"/>
  <c r="AZ260" i="3" s="1"/>
  <c r="BL261" i="3"/>
  <c r="AZ261" i="3" s="1"/>
  <c r="BA262" i="3"/>
  <c r="G263" i="3"/>
  <c r="G264" i="3"/>
  <c r="BL264" i="3"/>
  <c r="AZ264" i="3" s="1"/>
  <c r="BL265" i="3"/>
  <c r="AZ265" i="3" s="1"/>
  <c r="G267" i="3"/>
  <c r="BL267" i="3"/>
  <c r="AZ267" i="3" s="1"/>
  <c r="BL268" i="3"/>
  <c r="AZ268" i="3" s="1"/>
  <c r="G270" i="3"/>
  <c r="BL270" i="3"/>
  <c r="AZ270" i="3" s="1"/>
  <c r="BL271" i="3"/>
  <c r="AZ271" i="3" s="1"/>
  <c r="G273" i="3"/>
  <c r="BL273" i="3"/>
  <c r="AZ273" i="3" s="1"/>
  <c r="BA274" i="3"/>
  <c r="AZ274" i="3" s="1"/>
  <c r="BA276" i="3"/>
  <c r="AZ276" i="3" s="1"/>
  <c r="G277" i="3"/>
  <c r="BA277" i="3"/>
  <c r="AZ277" i="3" s="1"/>
  <c r="BA278" i="3"/>
  <c r="AZ278" i="3" s="1"/>
  <c r="G279" i="3"/>
  <c r="BA279" i="3"/>
  <c r="G280" i="3"/>
  <c r="BA280" i="3"/>
  <c r="AZ280" i="3" s="1"/>
  <c r="BA281" i="3"/>
  <c r="AZ281" i="3" s="1"/>
  <c r="G282" i="3"/>
  <c r="G283" i="3"/>
  <c r="BL283" i="3"/>
  <c r="AZ283" i="3" s="1"/>
  <c r="BL284" i="3"/>
  <c r="AZ284" i="3" s="1"/>
  <c r="G286" i="3"/>
  <c r="BL286" i="3"/>
  <c r="AZ286" i="3" s="1"/>
  <c r="BL287" i="3"/>
  <c r="AZ287" i="3" s="1"/>
  <c r="G289" i="3"/>
  <c r="G290" i="3"/>
  <c r="BL291" i="3"/>
  <c r="AZ291" i="3" s="1"/>
  <c r="G293" i="3"/>
  <c r="BA293" i="3"/>
  <c r="G294" i="3"/>
  <c r="BA294" i="3"/>
  <c r="AZ294" i="3" s="1"/>
  <c r="BL295" i="3"/>
  <c r="G296" i="3"/>
  <c r="BL296" i="3"/>
  <c r="AZ296" i="3" s="1"/>
  <c r="BA113" i="3"/>
  <c r="G114" i="3"/>
  <c r="BA115" i="3"/>
  <c r="AZ115" i="3" s="1"/>
  <c r="BA116" i="3"/>
  <c r="G117" i="3"/>
  <c r="G119" i="3"/>
  <c r="BL122" i="3"/>
  <c r="AZ122" i="3" s="1"/>
  <c r="BA123" i="3"/>
  <c r="AZ123" i="3" s="1"/>
  <c r="G125" i="3"/>
  <c r="BL125" i="3"/>
  <c r="BA127" i="3"/>
  <c r="AZ127" i="3" s="1"/>
  <c r="BL128" i="3"/>
  <c r="BA129" i="3"/>
  <c r="AZ129" i="3" s="1"/>
  <c r="G130" i="3"/>
  <c r="BA131" i="3"/>
  <c r="AZ131" i="3" s="1"/>
  <c r="BA132" i="3"/>
  <c r="G133" i="3"/>
  <c r="BA133" i="3"/>
  <c r="G134" i="3"/>
  <c r="G135" i="3"/>
  <c r="BL136" i="3"/>
  <c r="BL137" i="3"/>
  <c r="AZ137" i="3" s="1"/>
  <c r="BA139" i="3"/>
  <c r="AZ139" i="3" s="1"/>
  <c r="BL140" i="3"/>
  <c r="AZ140" i="3" s="1"/>
  <c r="BL142" i="3"/>
  <c r="AZ142" i="3" s="1"/>
  <c r="BA144" i="3"/>
  <c r="G145" i="3"/>
  <c r="G146" i="3"/>
  <c r="G147" i="3"/>
  <c r="G149" i="3"/>
  <c r="BL149" i="3"/>
  <c r="BA151" i="3"/>
  <c r="AZ151" i="3" s="1"/>
  <c r="BL152" i="3"/>
  <c r="AZ152" i="3" s="1"/>
  <c r="BA154" i="3"/>
  <c r="AZ154" i="3" s="1"/>
  <c r="BL155" i="3"/>
  <c r="BA156" i="3"/>
  <c r="AZ156" i="3" s="1"/>
  <c r="G157" i="3"/>
  <c r="BA158" i="3"/>
  <c r="AZ158" i="3" s="1"/>
  <c r="BA159" i="3"/>
  <c r="AZ159" i="3" s="1"/>
  <c r="G160" i="3"/>
  <c r="BA160" i="3"/>
  <c r="AZ160" i="3" s="1"/>
  <c r="G161" i="3"/>
  <c r="G162" i="3"/>
  <c r="BL164" i="3"/>
  <c r="AZ164" i="3" s="1"/>
  <c r="BA166" i="3"/>
  <c r="AZ166" i="3" s="1"/>
  <c r="BL167" i="3"/>
  <c r="AZ167" i="3" s="1"/>
  <c r="BL168" i="3"/>
  <c r="BL169" i="3"/>
  <c r="AZ169" i="3" s="1"/>
  <c r="BA170" i="3"/>
  <c r="AZ170" i="3" s="1"/>
  <c r="BA171" i="3"/>
  <c r="AZ171" i="3" s="1"/>
  <c r="G172" i="3"/>
  <c r="BL173" i="3"/>
  <c r="AZ173" i="3" s="1"/>
  <c r="G176" i="3"/>
  <c r="BL176" i="3"/>
  <c r="BL178" i="3"/>
  <c r="AZ178" i="3" s="1"/>
  <c r="G181" i="3"/>
  <c r="BL204" i="3"/>
  <c r="BL23" i="3"/>
  <c r="BA67" i="3"/>
  <c r="AZ67" i="3" s="1"/>
  <c r="BL75" i="3"/>
  <c r="BL86" i="3"/>
  <c r="AZ86" i="3" s="1"/>
  <c r="BA90" i="3"/>
  <c r="AZ90" i="3" s="1"/>
  <c r="BA96" i="3"/>
  <c r="AZ96" i="3" s="1"/>
  <c r="BL98" i="3"/>
  <c r="BL182" i="3"/>
  <c r="AZ182" i="3" s="1"/>
  <c r="BL184" i="3"/>
  <c r="AZ184" i="3" s="1"/>
  <c r="BA186" i="3"/>
  <c r="G187" i="3"/>
  <c r="G189" i="3"/>
  <c r="BA191" i="3"/>
  <c r="AZ191" i="3" s="1"/>
  <c r="G192" i="3"/>
  <c r="G193" i="3"/>
  <c r="BL194" i="3"/>
  <c r="AZ194" i="3" s="1"/>
  <c r="BL195" i="3"/>
  <c r="AZ195" i="3" s="1"/>
  <c r="BA197" i="3"/>
  <c r="AZ197" i="3" s="1"/>
  <c r="BL198" i="3"/>
  <c r="BL199" i="3"/>
  <c r="AZ199" i="3" s="1"/>
  <c r="BL200" i="3"/>
  <c r="AZ200" i="3" s="1"/>
  <c r="BA201" i="3"/>
  <c r="AZ201" i="3" s="1"/>
  <c r="BA202" i="3"/>
  <c r="G23" i="3"/>
  <c r="BA24" i="3"/>
  <c r="G25" i="3"/>
  <c r="BA27" i="3"/>
  <c r="BL27" i="3"/>
  <c r="G28" i="3"/>
  <c r="G30" i="3"/>
  <c r="BL30" i="3"/>
  <c r="BA31" i="3"/>
  <c r="G32" i="3"/>
  <c r="BL32" i="3"/>
  <c r="AZ32" i="3" s="1"/>
  <c r="BA33" i="3"/>
  <c r="BL33" i="3"/>
  <c r="G34" i="3"/>
  <c r="BA37" i="3"/>
  <c r="G38" i="3"/>
  <c r="G39" i="3"/>
  <c r="BL39" i="3"/>
  <c r="AZ39" i="3" s="1"/>
  <c r="BL46" i="3"/>
  <c r="G47" i="3"/>
  <c r="BL47" i="3"/>
  <c r="AZ47" i="3" s="1"/>
  <c r="BA48" i="3"/>
  <c r="BL48" i="3"/>
  <c r="G49" i="3"/>
  <c r="G50" i="3"/>
  <c r="BL50" i="3"/>
  <c r="AZ50" i="3" s="1"/>
  <c r="BA51" i="3"/>
  <c r="BL51" i="3"/>
  <c r="G52" i="3"/>
  <c r="G53" i="3"/>
  <c r="BL53" i="3"/>
  <c r="AZ53" i="3" s="1"/>
  <c r="BA54" i="3"/>
  <c r="BL54" i="3"/>
  <c r="G55" i="3"/>
  <c r="G56" i="3"/>
  <c r="BA57" i="3"/>
  <c r="BL57" i="3"/>
  <c r="G58" i="3"/>
  <c r="G59" i="3"/>
  <c r="BA60" i="3"/>
  <c r="BL60" i="3"/>
  <c r="BA73" i="3"/>
  <c r="AZ73" i="3" s="1"/>
  <c r="BL81" i="3"/>
  <c r="AZ92" i="3"/>
  <c r="BL92" i="3"/>
  <c r="G61" i="3"/>
  <c r="G62" i="3"/>
  <c r="BL62" i="3"/>
  <c r="AZ62" i="3" s="1"/>
  <c r="BA63" i="3"/>
  <c r="AZ63" i="3" s="1"/>
  <c r="G64" i="3"/>
  <c r="G65" i="3"/>
  <c r="BL65" i="3"/>
  <c r="AZ65" i="3" s="1"/>
  <c r="BA66" i="3"/>
  <c r="BL66" i="3"/>
  <c r="G67" i="3"/>
  <c r="BA70" i="3"/>
  <c r="AZ70" i="3" s="1"/>
  <c r="BA72" i="3"/>
  <c r="BL72" i="3"/>
  <c r="G73" i="3"/>
  <c r="BA74" i="3"/>
  <c r="AZ74" i="3" s="1"/>
  <c r="G75" i="3"/>
  <c r="BA75" i="3"/>
  <c r="G76" i="3"/>
  <c r="BA76" i="3"/>
  <c r="AZ76" i="3" s="1"/>
  <c r="BL77" i="3"/>
  <c r="AZ77" i="3" s="1"/>
  <c r="BL78" i="3"/>
  <c r="AZ78" i="3" s="1"/>
  <c r="BL79" i="3"/>
  <c r="AZ79" i="3" s="1"/>
  <c r="BA80" i="3"/>
  <c r="G81" i="3"/>
  <c r="BA81" i="3"/>
  <c r="G82" i="3"/>
  <c r="BL83" i="3"/>
  <c r="AZ83" i="3" s="1"/>
  <c r="BA84" i="3"/>
  <c r="AZ84" i="3" s="1"/>
  <c r="BA87" i="3"/>
  <c r="AZ87" i="3" s="1"/>
  <c r="BL88" i="3"/>
  <c r="AZ88" i="3" s="1"/>
  <c r="BA89" i="3"/>
  <c r="BL89" i="3"/>
  <c r="G90" i="3"/>
  <c r="BA91" i="3"/>
  <c r="BL91" i="3"/>
  <c r="G92" i="3"/>
  <c r="BA93" i="3"/>
  <c r="AZ93" i="3" s="1"/>
  <c r="BL94" i="3"/>
  <c r="AZ94" i="3" s="1"/>
  <c r="BL95" i="3"/>
  <c r="AZ95" i="3" s="1"/>
  <c r="BA98" i="3"/>
  <c r="G99" i="3"/>
  <c r="BL100" i="3"/>
  <c r="AZ100" i="3" s="1"/>
  <c r="BL101" i="3"/>
  <c r="AZ101" i="3" s="1"/>
  <c r="BL102" i="3"/>
  <c r="AZ102" i="3" s="1"/>
  <c r="BA103" i="3"/>
  <c r="G104" i="3"/>
  <c r="BA104" i="3"/>
  <c r="G105" i="3"/>
  <c r="BA105" i="3"/>
  <c r="AZ105" i="3" s="1"/>
  <c r="BL106" i="3"/>
  <c r="AZ106" i="3" s="1"/>
  <c r="BA107" i="3"/>
  <c r="AZ107" i="3" s="1"/>
  <c r="BL108" i="3"/>
  <c r="BA109" i="3"/>
  <c r="G110" i="3"/>
  <c r="BA112" i="3"/>
  <c r="AZ112" i="3" s="1"/>
  <c r="B13" i="1"/>
  <c r="E13" i="1" s="1"/>
  <c r="I15" i="57"/>
  <c r="S31" i="39"/>
  <c r="BL104" i="3"/>
  <c r="AZ108" i="3"/>
  <c r="BA110" i="3"/>
  <c r="AZ110" i="3" s="1"/>
  <c r="BL112" i="3"/>
  <c r="D3" i="21"/>
  <c r="C9" i="12"/>
  <c r="AZ494" i="3"/>
  <c r="AZ568" i="3"/>
  <c r="S28" i="21"/>
  <c r="AA28" i="21"/>
  <c r="AC9" i="33"/>
  <c r="W9" i="33"/>
  <c r="AC27" i="34"/>
  <c r="W27" i="34"/>
  <c r="M7" i="1"/>
  <c r="O7" i="1" s="1"/>
  <c r="P7" i="1" s="1"/>
  <c r="AH7" i="1"/>
  <c r="AZ562" i="3"/>
  <c r="AC23" i="35"/>
  <c r="W23" i="35"/>
  <c r="U27" i="37"/>
  <c r="AB27" i="37"/>
  <c r="AC39" i="37"/>
  <c r="W39" i="37"/>
  <c r="J17" i="40"/>
  <c r="F86" i="40"/>
  <c r="G86" i="40" s="1"/>
  <c r="U32" i="40"/>
  <c r="AB32" i="40"/>
  <c r="AZ517" i="3"/>
  <c r="AZ328" i="3"/>
  <c r="AZ556" i="3"/>
  <c r="S12" i="33"/>
  <c r="AA12" i="33"/>
  <c r="U45" i="33"/>
  <c r="AB45" i="33"/>
  <c r="W24" i="36"/>
  <c r="AC24" i="36"/>
  <c r="AB25" i="39"/>
  <c r="AB14" i="40"/>
  <c r="H49" i="46"/>
  <c r="H47" i="46"/>
  <c r="F34" i="44"/>
  <c r="F72" i="9"/>
  <c r="AZ499" i="3"/>
  <c r="AC9" i="21"/>
  <c r="W9" i="21"/>
  <c r="U27" i="33"/>
  <c r="AB27" i="33"/>
  <c r="U12" i="37"/>
  <c r="AC28" i="34"/>
  <c r="S19" i="21"/>
  <c r="AC40" i="21"/>
  <c r="H19" i="21"/>
  <c r="AB19" i="21" s="1"/>
  <c r="H9" i="21"/>
  <c r="F43" i="21"/>
  <c r="F12" i="21"/>
  <c r="F9" i="21"/>
  <c r="S9" i="21" s="1"/>
  <c r="A14" i="55"/>
  <c r="B65" i="63" s="1"/>
  <c r="A2" i="55"/>
  <c r="B55" i="63" s="1"/>
  <c r="A11" i="55"/>
  <c r="B62" i="63" s="1"/>
  <c r="AZ421" i="3"/>
  <c r="AZ443" i="3"/>
  <c r="AZ451" i="3"/>
  <c r="AZ478" i="3"/>
  <c r="AZ334" i="3"/>
  <c r="AZ384" i="3"/>
  <c r="F8" i="1"/>
  <c r="BA392" i="3"/>
  <c r="AZ392" i="3" s="1"/>
  <c r="AZ402" i="3"/>
  <c r="AZ411" i="3"/>
  <c r="AA36" i="37"/>
  <c r="AA27" i="33"/>
  <c r="AB30" i="21"/>
  <c r="S46" i="21"/>
  <c r="W46" i="33"/>
  <c r="J28" i="21"/>
  <c r="AC28" i="21" s="1"/>
  <c r="BL13" i="3"/>
  <c r="AB36" i="21"/>
  <c r="W38" i="33"/>
  <c r="H43" i="21"/>
  <c r="H5" i="3"/>
  <c r="H9" i="33"/>
  <c r="J12" i="35"/>
  <c r="H34" i="35"/>
  <c r="H9" i="36"/>
  <c r="AB9" i="36" s="1"/>
  <c r="BL389" i="3"/>
  <c r="AZ389" i="3" s="1"/>
  <c r="G390" i="3"/>
  <c r="BL394" i="3"/>
  <c r="AZ394" i="3" s="1"/>
  <c r="G395" i="3"/>
  <c r="BL397" i="3"/>
  <c r="AZ397" i="3" s="1"/>
  <c r="BA403" i="3"/>
  <c r="AZ403" i="3" s="1"/>
  <c r="BL406" i="3"/>
  <c r="AZ406" i="3" s="1"/>
  <c r="AZ412" i="3"/>
  <c r="AZ417" i="3"/>
  <c r="AC23" i="37"/>
  <c r="AC28" i="33"/>
  <c r="AB31" i="33"/>
  <c r="AB14" i="21"/>
  <c r="AB13" i="21"/>
  <c r="AB13" i="35"/>
  <c r="J19" i="34"/>
  <c r="AC19" i="34" s="1"/>
  <c r="S22" i="35"/>
  <c r="W40" i="33"/>
  <c r="C23" i="39"/>
  <c r="AA38" i="21"/>
  <c r="U33" i="33"/>
  <c r="J19" i="21"/>
  <c r="W19" i="21" s="1"/>
  <c r="BI5" i="3"/>
  <c r="H9" i="34"/>
  <c r="AB9" i="34" s="1"/>
  <c r="H10" i="34"/>
  <c r="AB10" i="34" s="1"/>
  <c r="H24" i="36"/>
  <c r="D3" i="34"/>
  <c r="BL391" i="3"/>
  <c r="AZ391" i="3" s="1"/>
  <c r="G392" i="3"/>
  <c r="G396" i="3"/>
  <c r="G399" i="3"/>
  <c r="BL399" i="3"/>
  <c r="AZ399" i="3" s="1"/>
  <c r="BL400" i="3"/>
  <c r="AZ400" i="3" s="1"/>
  <c r="G401" i="3"/>
  <c r="BL409" i="3"/>
  <c r="AZ409" i="3" s="1"/>
  <c r="G414" i="3"/>
  <c r="AZ464" i="3"/>
  <c r="AZ208" i="3"/>
  <c r="BL208" i="3"/>
  <c r="BA215" i="3"/>
  <c r="AZ215" i="3" s="1"/>
  <c r="AZ216" i="3"/>
  <c r="BL220" i="3"/>
  <c r="AZ220" i="3" s="1"/>
  <c r="BL225" i="3"/>
  <c r="AZ225" i="3" s="1"/>
  <c r="AZ238" i="3"/>
  <c r="AZ246" i="3"/>
  <c r="AZ254" i="3"/>
  <c r="AZ262" i="3"/>
  <c r="AZ275" i="3"/>
  <c r="AZ279" i="3"/>
  <c r="AZ113" i="3"/>
  <c r="BL366" i="3"/>
  <c r="AZ366" i="3" s="1"/>
  <c r="BL380" i="3"/>
  <c r="AZ380" i="3" s="1"/>
  <c r="BA386" i="3"/>
  <c r="AZ386" i="3" s="1"/>
  <c r="BL388" i="3"/>
  <c r="AZ388" i="3" s="1"/>
  <c r="BA206" i="3"/>
  <c r="AZ206" i="3" s="1"/>
  <c r="BA207" i="3"/>
  <c r="AZ207" i="3" s="1"/>
  <c r="BL209" i="3"/>
  <c r="AZ209" i="3" s="1"/>
  <c r="BL228" i="3"/>
  <c r="AZ228" i="3" s="1"/>
  <c r="BL233" i="3"/>
  <c r="AZ233" i="3" s="1"/>
  <c r="BL364" i="3"/>
  <c r="AZ364" i="3" s="1"/>
  <c r="BA375" i="3"/>
  <c r="AZ375" i="3" s="1"/>
  <c r="BL385" i="3"/>
  <c r="AZ385" i="3" s="1"/>
  <c r="BL205" i="3"/>
  <c r="AZ205" i="3" s="1"/>
  <c r="AZ222" i="3"/>
  <c r="AZ227" i="3"/>
  <c r="AZ232" i="3"/>
  <c r="AZ293" i="3"/>
  <c r="AZ116" i="3"/>
  <c r="BL211" i="3"/>
  <c r="AZ211" i="3" s="1"/>
  <c r="BL212" i="3"/>
  <c r="AZ212" i="3" s="1"/>
  <c r="BL217" i="3"/>
  <c r="AZ217" i="3" s="1"/>
  <c r="BA292" i="3"/>
  <c r="AZ292" i="3" s="1"/>
  <c r="BL120" i="3"/>
  <c r="AZ120" i="3" s="1"/>
  <c r="AZ149" i="3"/>
  <c r="AZ155" i="3"/>
  <c r="AZ190" i="3"/>
  <c r="AZ202" i="3"/>
  <c r="AZ37" i="3"/>
  <c r="BL289" i="3"/>
  <c r="AZ289" i="3" s="1"/>
  <c r="BL121" i="3"/>
  <c r="AZ121" i="3" s="1"/>
  <c r="AZ132" i="3"/>
  <c r="BL141" i="3"/>
  <c r="AZ141" i="3" s="1"/>
  <c r="BA143" i="3"/>
  <c r="AZ143" i="3" s="1"/>
  <c r="BL163" i="3"/>
  <c r="AZ163" i="3" s="1"/>
  <c r="BL177" i="3"/>
  <c r="AZ177" i="3" s="1"/>
  <c r="BA179" i="3"/>
  <c r="AZ179" i="3" s="1"/>
  <c r="AZ198" i="3"/>
  <c r="BA295" i="3"/>
  <c r="AZ295" i="3" s="1"/>
  <c r="BA119" i="3"/>
  <c r="AZ119" i="3" s="1"/>
  <c r="BA124" i="3"/>
  <c r="AZ124" i="3" s="1"/>
  <c r="AZ125" i="3"/>
  <c r="AZ128" i="3"/>
  <c r="BL133" i="3"/>
  <c r="AZ133" i="3" s="1"/>
  <c r="BA135" i="3"/>
  <c r="AZ135" i="3" s="1"/>
  <c r="AZ136" i="3"/>
  <c r="BL144" i="3"/>
  <c r="AZ144" i="3" s="1"/>
  <c r="BL146" i="3"/>
  <c r="AZ146" i="3" s="1"/>
  <c r="AZ168" i="3"/>
  <c r="BA172" i="3"/>
  <c r="AZ172" i="3" s="1"/>
  <c r="BA175" i="3"/>
  <c r="AZ175" i="3" s="1"/>
  <c r="AZ176" i="3"/>
  <c r="BL183" i="3"/>
  <c r="AZ183" i="3" s="1"/>
  <c r="BA185" i="3"/>
  <c r="AZ185" i="3" s="1"/>
  <c r="AZ186" i="3"/>
  <c r="BL21" i="3"/>
  <c r="BL22" i="3"/>
  <c r="AZ22" i="3" s="1"/>
  <c r="BL24" i="3"/>
  <c r="AZ24" i="3" s="1"/>
  <c r="BA28" i="3"/>
  <c r="AZ30" i="3"/>
  <c r="BL31" i="3"/>
  <c r="AZ31" i="3" s="1"/>
  <c r="BA34" i="3"/>
  <c r="AZ85" i="3"/>
  <c r="AZ97" i="3"/>
  <c r="AZ103" i="3"/>
  <c r="AZ104" i="3"/>
  <c r="AZ109" i="3"/>
  <c r="AZ111" i="3"/>
  <c r="AZ25" i="3"/>
  <c r="BA26" i="3"/>
  <c r="AZ26" i="3" s="1"/>
  <c r="AZ33" i="3"/>
  <c r="BL37" i="3"/>
  <c r="I21" i="57"/>
  <c r="D1" i="57" s="1"/>
  <c r="E10" i="57" s="1"/>
  <c r="BA204" i="3"/>
  <c r="AZ204" i="3" s="1"/>
  <c r="BA21" i="3"/>
  <c r="BA23" i="3"/>
  <c r="AZ23" i="3" s="1"/>
  <c r="BL28" i="3"/>
  <c r="G29" i="3"/>
  <c r="BL34" i="3"/>
  <c r="G35" i="3"/>
  <c r="BL36" i="3"/>
  <c r="AZ36" i="3" s="1"/>
  <c r="BA40" i="3"/>
  <c r="AZ40" i="3" s="1"/>
  <c r="AZ41" i="3"/>
  <c r="BA43" i="3"/>
  <c r="AZ43" i="3" s="1"/>
  <c r="AZ44" i="3"/>
  <c r="BA46" i="3"/>
  <c r="AZ46" i="3" s="1"/>
  <c r="AZ54" i="3"/>
  <c r="AZ60" i="3"/>
  <c r="AZ68" i="3"/>
  <c r="AZ75" i="3"/>
  <c r="AZ80" i="3"/>
  <c r="AZ81" i="3"/>
  <c r="AZ89" i="3"/>
  <c r="G22" i="3"/>
  <c r="D100" i="46"/>
  <c r="K100" i="46"/>
  <c r="D23" i="15"/>
  <c r="C18" i="9"/>
  <c r="M43" i="9" s="1"/>
  <c r="F44" i="34"/>
  <c r="S44" i="34" s="1"/>
  <c r="W43" i="34"/>
  <c r="AB38" i="34"/>
  <c r="H112" i="34"/>
  <c r="I112" i="34" s="1"/>
  <c r="J112" i="34" s="1"/>
  <c r="K112" i="34" s="1"/>
  <c r="L112" i="34" s="1"/>
  <c r="M112" i="34" s="1"/>
  <c r="F37" i="34"/>
  <c r="H37" i="34"/>
  <c r="U37" i="34" s="1"/>
  <c r="J37" i="34"/>
  <c r="AC37" i="34" s="1"/>
  <c r="J15" i="34"/>
  <c r="AC15" i="34" s="1"/>
  <c r="AB37" i="34"/>
  <c r="AC41" i="34"/>
  <c r="S28" i="34"/>
  <c r="AA28" i="34"/>
  <c r="S15" i="34"/>
  <c r="S17" i="34"/>
  <c r="U17" i="34"/>
  <c r="AC9" i="34"/>
  <c r="W9" i="34"/>
  <c r="H113" i="21"/>
  <c r="J37" i="21"/>
  <c r="W37" i="21" s="1"/>
  <c r="F37" i="21"/>
  <c r="S37" i="21" s="1"/>
  <c r="H37" i="21"/>
  <c r="U37" i="21" s="1"/>
  <c r="AA36" i="21"/>
  <c r="U19" i="21"/>
  <c r="U17" i="21"/>
  <c r="AB10" i="21"/>
  <c r="S10" i="21"/>
  <c r="U40" i="21"/>
  <c r="AA40" i="21"/>
  <c r="U42" i="21"/>
  <c r="W42" i="21"/>
  <c r="F95" i="39"/>
  <c r="G95" i="39" s="1"/>
  <c r="F21" i="39"/>
  <c r="S21" i="39" s="1"/>
  <c r="J21" i="39"/>
  <c r="W21" i="39" s="1"/>
  <c r="H21" i="39"/>
  <c r="U21" i="39" s="1"/>
  <c r="F91" i="39"/>
  <c r="G91" i="39" s="1"/>
  <c r="H17" i="39"/>
  <c r="F17" i="39"/>
  <c r="J17" i="39"/>
  <c r="W17" i="39" s="1"/>
  <c r="AB29" i="39"/>
  <c r="AB44" i="39"/>
  <c r="AA47" i="39"/>
  <c r="S47" i="39"/>
  <c r="AB46" i="39"/>
  <c r="J47" i="39"/>
  <c r="W43" i="39"/>
  <c r="AC33" i="39"/>
  <c r="W27" i="39"/>
  <c r="AB21" i="39"/>
  <c r="W15" i="39"/>
  <c r="AB16" i="39"/>
  <c r="A30" i="64"/>
  <c r="A30" i="51"/>
  <c r="G15" i="3"/>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28" i="34"/>
  <c r="AA27" i="34"/>
  <c r="J25" i="34"/>
  <c r="H25" i="34"/>
  <c r="F25" i="34"/>
  <c r="J23" i="34"/>
  <c r="F86" i="34"/>
  <c r="G86" i="34" s="1"/>
  <c r="F23" i="34"/>
  <c r="H23" i="34"/>
  <c r="W17"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5" i="44"/>
  <c r="F45" i="44"/>
  <c r="M30" i="44"/>
  <c r="M25" i="44"/>
  <c r="F39" i="44"/>
  <c r="J17" i="44"/>
  <c r="M26" i="44"/>
  <c r="F28" i="44"/>
  <c r="F11" i="44"/>
  <c r="M28" i="44"/>
  <c r="L48" i="44"/>
  <c r="F43" i="44"/>
  <c r="L49" i="44"/>
  <c r="M8" i="15"/>
  <c r="F8" i="44"/>
  <c r="M24" i="44"/>
  <c r="F9" i="44"/>
  <c r="F36" i="15"/>
  <c r="F26" i="15"/>
  <c r="M8" i="44"/>
  <c r="F18" i="44"/>
  <c r="M11" i="44"/>
  <c r="F7" i="15"/>
  <c r="F38" i="44"/>
  <c r="F40" i="44"/>
  <c r="F10" i="44"/>
  <c r="M9" i="15"/>
  <c r="M31" i="44"/>
  <c r="M29" i="44"/>
  <c r="M10" i="44"/>
  <c r="F43" i="15"/>
  <c r="M22" i="15"/>
  <c r="F9" i="15"/>
  <c r="AZ98" i="3" l="1"/>
  <c r="AZ51" i="3"/>
  <c r="AZ318" i="3"/>
  <c r="AZ467" i="3"/>
  <c r="AZ465" i="3"/>
  <c r="AZ459" i="3"/>
  <c r="AZ457" i="3"/>
  <c r="AZ447" i="3"/>
  <c r="AZ441" i="3"/>
  <c r="AZ429" i="3"/>
  <c r="AZ427" i="3"/>
  <c r="AZ423" i="3"/>
  <c r="AZ415" i="3"/>
  <c r="AZ99" i="3"/>
  <c r="AZ42" i="3"/>
  <c r="AZ187" i="3"/>
  <c r="AZ117" i="3"/>
  <c r="AZ290" i="3"/>
  <c r="AA25" i="37"/>
  <c r="S25" i="37"/>
  <c r="S45" i="33"/>
  <c r="AA45" i="33"/>
  <c r="AC23" i="36"/>
  <c r="W23" i="36"/>
  <c r="AA9" i="35"/>
  <c r="S9" i="35"/>
  <c r="S39" i="37"/>
  <c r="AA39" i="37"/>
  <c r="AZ463" i="3"/>
  <c r="AZ454" i="3"/>
  <c r="AZ433" i="3"/>
  <c r="AZ405" i="3"/>
  <c r="AZ28" i="3"/>
  <c r="AZ91" i="3"/>
  <c r="AZ72" i="3"/>
  <c r="AZ66" i="3"/>
  <c r="AZ57" i="3"/>
  <c r="AZ48" i="3"/>
  <c r="AZ27" i="3"/>
  <c r="AZ469" i="3"/>
  <c r="AZ461" i="3"/>
  <c r="AZ449" i="3"/>
  <c r="AZ439" i="3"/>
  <c r="AZ437" i="3"/>
  <c r="AZ431" i="3"/>
  <c r="AZ413" i="3"/>
  <c r="AZ398" i="3"/>
  <c r="AC36" i="35"/>
  <c r="W36" i="35"/>
  <c r="AB11" i="46"/>
  <c r="AB13" i="46" s="1"/>
  <c r="AA9" i="21"/>
  <c r="AB34" i="35"/>
  <c r="U34" i="35"/>
  <c r="AB43" i="21"/>
  <c r="U43" i="21"/>
  <c r="AB9" i="21"/>
  <c r="U9" i="21"/>
  <c r="AB24" i="36"/>
  <c r="U24" i="36"/>
  <c r="W12" i="35"/>
  <c r="AC12" i="35"/>
  <c r="U9" i="34"/>
  <c r="AZ21" i="3"/>
  <c r="AZ34" i="3"/>
  <c r="AB9" i="33"/>
  <c r="U9" i="33"/>
  <c r="AA12" i="21"/>
  <c r="S12" i="21"/>
  <c r="BL5" i="3"/>
  <c r="W20" i="36"/>
  <c r="S43" i="21"/>
  <c r="AA43" i="21"/>
  <c r="AA44" i="34"/>
  <c r="AA37" i="34"/>
  <c r="S37" i="34"/>
  <c r="W15" i="34"/>
  <c r="AC23" i="21"/>
  <c r="AA15" i="21"/>
  <c r="U17" i="39"/>
  <c r="AB17" i="39"/>
  <c r="AC17" i="39"/>
  <c r="AA17" i="39"/>
  <c r="S17" i="39"/>
  <c r="W47" i="39"/>
  <c r="AC47" i="39"/>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F63" i="15"/>
  <c r="M7" i="15"/>
  <c r="F49" i="15"/>
  <c r="F70" i="15"/>
  <c r="G66" i="36"/>
  <c r="J18" i="36"/>
  <c r="AE8" i="1"/>
  <c r="AE6" i="1"/>
  <c r="L47" i="15"/>
  <c r="L48" i="15"/>
  <c r="J15" i="15"/>
  <c r="M23" i="15"/>
  <c r="J36" i="15"/>
  <c r="F13" i="15"/>
  <c r="F33" i="44"/>
  <c r="F8" i="15"/>
  <c r="M26" i="15"/>
  <c r="F42" i="15"/>
  <c r="F46" i="44"/>
  <c r="M27" i="15"/>
  <c r="F6" i="15"/>
  <c r="F38" i="15"/>
  <c r="F37" i="15"/>
  <c r="M24" i="15"/>
  <c r="M19" i="44"/>
  <c r="F40" i="15"/>
  <c r="M6" i="15"/>
  <c r="F16" i="15"/>
  <c r="C18" i="44"/>
  <c r="M29" i="15"/>
  <c r="M28" i="15"/>
  <c r="F64" i="15" l="1"/>
  <c r="F65" i="15"/>
  <c r="J53" i="15"/>
  <c r="F1" i="15" s="1"/>
  <c r="J57" i="15"/>
  <c r="J55" i="15" s="1"/>
  <c r="J58" i="15" s="1"/>
  <c r="Q51" i="15" s="1"/>
  <c r="L56" i="15"/>
  <c r="I54" i="15"/>
  <c r="L58" i="15"/>
  <c r="Q74" i="15" s="1"/>
  <c r="L59" i="15"/>
  <c r="Q75" i="15" s="1"/>
  <c r="J7" i="36"/>
  <c r="W7" i="36" s="1"/>
  <c r="F7" i="36"/>
  <c r="H7" i="35"/>
  <c r="AB7" i="35" s="1"/>
  <c r="T38" i="35" s="1"/>
  <c r="G38" i="35" s="1"/>
  <c r="G42" i="35" s="1"/>
  <c r="H42" i="35" s="1"/>
  <c r="F7" i="35"/>
  <c r="F7" i="34"/>
  <c r="Q72" i="15"/>
  <c r="F67" i="15"/>
  <c r="C10" i="15"/>
  <c r="F50" i="15"/>
  <c r="C6" i="15"/>
  <c r="J7" i="34"/>
  <c r="K105" i="46"/>
  <c r="K104" i="46"/>
  <c r="H7" i="34"/>
  <c r="AB7" i="34" s="1"/>
  <c r="F107" i="46"/>
  <c r="C105" i="46"/>
  <c r="J109" i="46"/>
  <c r="J105" i="46"/>
  <c r="K107" i="46"/>
  <c r="F103" i="46"/>
  <c r="F106" i="46"/>
  <c r="C107" i="46"/>
  <c r="C104" i="46"/>
  <c r="J107" i="46"/>
  <c r="F30" i="6"/>
  <c r="F31" i="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J6" i="15"/>
  <c r="J5" i="15" s="1"/>
  <c r="J18" i="15" s="1"/>
  <c r="J8" i="44"/>
  <c r="J7" i="44" s="1"/>
  <c r="E48" i="33"/>
  <c r="E52" i="33" s="1"/>
  <c r="F52" i="33" s="1"/>
  <c r="H12" i="40"/>
  <c r="AB12" i="40" s="1"/>
  <c r="AG6" i="1"/>
  <c r="H12" i="39"/>
  <c r="U12" i="39" s="1"/>
  <c r="F12" i="39"/>
  <c r="AA12" i="39"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S7" i="34"/>
  <c r="AA7" i="34"/>
  <c r="AC7" i="37"/>
  <c r="V42" i="37" s="1"/>
  <c r="I42" i="37" s="1"/>
  <c r="I46" i="37" s="1"/>
  <c r="J46" i="37" s="1"/>
  <c r="W7" i="37"/>
  <c r="F7" i="21"/>
  <c r="J7" i="21"/>
  <c r="H7" i="21"/>
  <c r="G43" i="35"/>
  <c r="H43" i="35" s="1"/>
  <c r="I42" i="35"/>
  <c r="J42" i="35" s="1"/>
  <c r="G52" i="33"/>
  <c r="H52" i="33" s="1"/>
  <c r="G53" i="33"/>
  <c r="H53" i="33" s="1"/>
  <c r="E67" i="40"/>
  <c r="F65" i="40"/>
  <c r="E72" i="39"/>
  <c r="F70" i="39"/>
  <c r="E39" i="46"/>
  <c r="Q61" i="15"/>
  <c r="Q62" i="15"/>
  <c r="Q53" i="15"/>
  <c r="C48" i="15"/>
  <c r="C20" i="11"/>
  <c r="C21" i="11" s="1"/>
  <c r="C22" i="11" s="1"/>
  <c r="C23" i="11" s="1"/>
  <c r="B2" i="11" s="1"/>
  <c r="AC12" i="40"/>
  <c r="W12" i="40"/>
  <c r="E46" i="37"/>
  <c r="F46" i="37" s="1"/>
  <c r="C48" i="33"/>
  <c r="C49" i="33"/>
  <c r="B3" i="33" s="1"/>
  <c r="B2" i="33" s="1"/>
  <c r="AE7" i="1"/>
  <c r="C16" i="15"/>
  <c r="F7" i="67"/>
  <c r="F58" i="15"/>
  <c r="F41" i="15"/>
  <c r="L52" i="44"/>
  <c r="F31" i="15"/>
  <c r="M17" i="15"/>
  <c r="C5" i="15" l="1"/>
  <c r="C32" i="15" s="1"/>
  <c r="S7" i="37"/>
  <c r="F68" i="15"/>
  <c r="G41" i="36"/>
  <c r="H41" i="36" s="1"/>
  <c r="L19" i="6"/>
  <c r="L27" i="6" s="1"/>
  <c r="U7" i="34"/>
  <c r="E30" i="6"/>
  <c r="E31" i="6" s="1"/>
  <c r="C33" i="21" s="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4" i="34" s="1"/>
  <c r="AY6" i="3"/>
  <c r="R43" i="37"/>
  <c r="C27" i="46"/>
  <c r="C39" i="35"/>
  <c r="B3" i="35" s="1"/>
  <c r="B2" i="35" s="1"/>
  <c r="AC7" i="21"/>
  <c r="W7" i="21"/>
  <c r="U7" i="21"/>
  <c r="AB7" i="21"/>
  <c r="S7" i="21"/>
  <c r="AA7" i="21"/>
  <c r="F72" i="39"/>
  <c r="G70" i="39"/>
  <c r="F67" i="40"/>
  <c r="G65" i="40"/>
  <c r="J24" i="15"/>
  <c r="J20" i="44"/>
  <c r="J26" i="44"/>
  <c r="C17" i="15"/>
  <c r="E7" i="67"/>
  <c r="C19" i="44"/>
  <c r="C38" i="15" l="1"/>
  <c r="J34" i="34"/>
  <c r="H34" i="34"/>
  <c r="F34" i="34"/>
  <c r="B3" i="11"/>
  <c r="J33" i="21"/>
  <c r="H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G67" i="40"/>
  <c r="H65" i="40"/>
  <c r="G72" i="39"/>
  <c r="H70" i="39"/>
  <c r="B7" i="67"/>
  <c r="W33" i="21" l="1"/>
  <c r="AC33" i="21"/>
  <c r="AA34" i="34"/>
  <c r="S34" i="34"/>
  <c r="AB34" i="34"/>
  <c r="U34" i="34"/>
  <c r="AA33" i="21"/>
  <c r="S33" i="21"/>
  <c r="W34" i="34"/>
  <c r="AC34" i="34"/>
  <c r="H40" i="39"/>
  <c r="J40" i="39"/>
  <c r="F40" i="39"/>
  <c r="U33" i="21"/>
  <c r="AB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C40" i="39" l="1"/>
  <c r="W40" i="39"/>
  <c r="AA40" i="39"/>
  <c r="S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M23" i="44"/>
  <c r="F37" i="44"/>
  <c r="C21" i="44" l="1"/>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11" i="34" l="1"/>
  <c r="C13" i="39"/>
  <c r="C28" i="44"/>
  <c r="C31" i="44" s="1"/>
  <c r="C35" i="44" s="1"/>
  <c r="I5" i="6"/>
  <c r="C26" i="15"/>
  <c r="C29" i="15" s="1"/>
  <c r="J59" i="15" s="1"/>
  <c r="J60" i="15" s="1"/>
  <c r="Q49" i="15" s="1"/>
  <c r="C23" i="12"/>
  <c r="C19" i="43"/>
  <c r="C22" i="43" s="1"/>
  <c r="C21" i="43" s="1"/>
  <c r="K67" i="40"/>
  <c r="L65" i="40"/>
  <c r="K72" i="39"/>
  <c r="L70" i="39"/>
  <c r="C11" i="21" l="1"/>
  <c r="J13" i="39"/>
  <c r="F13" i="39"/>
  <c r="H13" i="39"/>
  <c r="F11" i="34"/>
  <c r="H11" i="34"/>
  <c r="J11" i="34"/>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B13" i="39" l="1"/>
  <c r="U13" i="39"/>
  <c r="W11" i="34"/>
  <c r="AC11" i="34"/>
  <c r="V49" i="34" s="1"/>
  <c r="I49" i="34" s="1"/>
  <c r="AA13" i="39"/>
  <c r="S13" i="39"/>
  <c r="AB11" i="34"/>
  <c r="T49" i="34" s="1"/>
  <c r="G49" i="34" s="1"/>
  <c r="G53" i="34" s="1"/>
  <c r="H53" i="34" s="1"/>
  <c r="U11" i="34"/>
  <c r="AC13" i="39"/>
  <c r="W13" i="39"/>
  <c r="S11" i="34"/>
  <c r="AA11" i="34"/>
  <c r="R49" i="34" s="1"/>
  <c r="H11" i="21"/>
  <c r="J11" i="21"/>
  <c r="F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E49" i="34" l="1"/>
  <c r="R50" i="34"/>
  <c r="G54" i="34"/>
  <c r="H54" i="34" s="1"/>
  <c r="I53" i="34"/>
  <c r="J53" i="34" s="1"/>
  <c r="I54" i="34"/>
  <c r="J54" i="34" s="1"/>
  <c r="S11" i="2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2" i="21" l="1"/>
  <c r="H52" i="21" s="1"/>
  <c r="G53" i="21"/>
  <c r="H53" i="21" s="1"/>
  <c r="R49" i="21"/>
  <c r="E48" i="21"/>
  <c r="I53" i="21" s="1"/>
  <c r="J53" i="21" s="1"/>
  <c r="C50" i="34"/>
  <c r="B3" i="34" s="1"/>
  <c r="C49" i="34"/>
  <c r="I52" i="21"/>
  <c r="J52" i="21" s="1"/>
  <c r="E53" i="34"/>
  <c r="F53" i="34" s="1"/>
  <c r="E54" i="34"/>
  <c r="F54" i="34"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B2" i="34"/>
  <c r="D10" i="12" s="1"/>
  <c r="D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s="1"/>
  <c r="C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D22" i="9"/>
  <c r="G19" i="9"/>
  <c r="B5" i="12"/>
  <c r="G21" i="9"/>
  <c r="D7" i="66"/>
  <c r="C7" i="66"/>
  <c r="D20" i="9"/>
  <c r="F48" i="9" l="1"/>
  <c r="G20" i="9"/>
  <c r="C32" i="9"/>
  <c r="N43" i="9"/>
  <c r="G22" i="9"/>
  <c r="C44" i="9"/>
  <c r="G14" i="66" s="1"/>
  <c r="B6" i="66" s="1"/>
  <c r="D45" i="9"/>
  <c r="E45" i="9"/>
  <c r="O40" i="9"/>
  <c r="F45" i="9"/>
  <c r="O38" i="9" l="1"/>
  <c r="C33" i="9"/>
  <c r="C35" i="9"/>
  <c r="F42" i="9" s="1"/>
  <c r="C42" i="9"/>
  <c r="C34" i="9"/>
  <c r="O43" i="9"/>
  <c r="D6" i="66"/>
  <c r="C6" i="66"/>
  <c r="K31" i="9"/>
  <c r="K32" i="9" s="1"/>
  <c r="R7" i="54"/>
  <c r="B52" i="63" s="1"/>
  <c r="N69" i="9"/>
  <c r="O39" i="9"/>
  <c r="K29" i="9" s="1"/>
  <c r="D44" i="9"/>
  <c r="E44" i="9"/>
  <c r="F44" i="9"/>
  <c r="E42" i="9" l="1"/>
  <c r="P5" i="54" s="1"/>
  <c r="B46" i="63" s="1"/>
  <c r="M38" i="9"/>
  <c r="K27" i="9" s="1"/>
  <c r="D14" i="66"/>
  <c r="N68" i="9"/>
  <c r="R5" i="54"/>
  <c r="B48" i="63" s="1"/>
  <c r="D63" i="9"/>
  <c r="D42" i="9"/>
  <c r="Q5" i="54" s="1"/>
  <c r="B47" i="63" s="1"/>
  <c r="N38" i="9"/>
  <c r="K28" i="9" s="1"/>
  <c r="K25" i="9"/>
  <c r="K26" i="9"/>
  <c r="M86" i="9"/>
  <c r="N86" i="9" s="1"/>
  <c r="M84" i="9"/>
  <c r="N84" i="9" s="1"/>
  <c r="M88" i="9"/>
  <c r="N88" i="9" s="1"/>
  <c r="M87" i="9"/>
  <c r="N87" i="9" s="1"/>
  <c r="M85" i="9"/>
  <c r="N85" i="9" s="1"/>
  <c r="M83" i="9"/>
  <c r="N83" i="9" s="1"/>
  <c r="K30" i="9"/>
  <c r="R6" i="54"/>
  <c r="B50" i="63" s="1"/>
  <c r="C111" i="9" l="1"/>
  <c r="C104" i="9" s="1"/>
  <c r="C96" i="9"/>
  <c r="C91" i="9" s="1"/>
  <c r="D71" i="9"/>
  <c r="D66" i="9" s="1"/>
  <c r="N72" i="9" s="1"/>
  <c r="C103" i="9"/>
  <c r="C90" i="9"/>
  <c r="D70" i="9"/>
  <c r="C82" i="9"/>
  <c r="C81" i="9" s="1"/>
  <c r="C85" i="9" s="1"/>
  <c r="C86" i="9" s="1"/>
  <c r="D72" i="9" s="1"/>
  <c r="D77" i="9"/>
  <c r="N75" i="9" s="1"/>
  <c r="F14" i="66"/>
  <c r="E14" i="66"/>
  <c r="N89" i="9"/>
  <c r="C97" i="9" l="1"/>
  <c r="C98" i="9" s="1"/>
  <c r="E98" i="9" s="1"/>
  <c r="E99" i="9" s="1"/>
  <c r="C113" i="9"/>
  <c r="O89" i="9"/>
  <c r="N76" i="9"/>
  <c r="C99" i="9" l="1"/>
  <c r="C114" i="9"/>
  <c r="E114" i="9" s="1"/>
  <c r="E115" i="9" s="1"/>
  <c r="C115" i="9" l="1"/>
  <c r="D76" i="9" s="1"/>
  <c r="D74" i="9" s="1"/>
  <c r="N74" i="9" s="1"/>
  <c r="O77" i="9" s="1"/>
  <c r="Q77" i="9" s="1"/>
  <c r="O79" i="9" l="1"/>
  <c r="C46" i="9" s="1"/>
  <c r="O78" i="9"/>
  <c r="K33" i="9" l="1"/>
  <c r="F46" i="9"/>
  <c r="D46" i="9"/>
  <c r="O41" i="9"/>
  <c r="R8" i="54" s="1"/>
  <c r="B54" i="63" s="1"/>
  <c r="I14" i="66"/>
  <c r="B8" i="66" s="1"/>
  <c r="E46" i="9"/>
  <c r="O81" i="9"/>
  <c r="O80" i="9"/>
  <c r="K34" i="9" l="1"/>
  <c r="D8" i="66"/>
  <c r="C8" i="66"/>
  <c r="F51" i="9" l="1"/>
  <c r="C50" i="9" s="1"/>
  <c r="I51" i="9" l="1"/>
  <c r="I50" i="9"/>
  <c r="E16" i="66" l="1"/>
  <c r="F16" i="66"/>
  <c r="E15" i="66" l="1"/>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<sst xmlns="http://schemas.openxmlformats.org/spreadsheetml/2006/main" count="7023" uniqueCount="3070">
  <si>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</si>
  <si>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</si>
  <si>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</si>
  <si>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</si>
  <si>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</si>
  <si>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</si>
  <si>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</si>
  <si>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</si>
  <si>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</si>
  <si>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</si>
  <si>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</si>
  <si>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</si>
  <si>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</si>
  <si>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</si>
  <si>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</si>
  <si>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</si>
  <si>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</si>
  <si>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</si>
  <si>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</si>
  <si>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</si>
  <si>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</si>
  <si>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</si>
  <si>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</si>
  <si>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</si>
  <si>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</si>
  <si>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</si>
  <si>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</si>
  <si>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</si>
  <si>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</si>
  <si>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</si>
  <si>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</si>
  <si>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</si>
  <si>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</si>
  <si>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</si>
  <si>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</si>
  <si>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</si>
  <si>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</si>
  <si>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</si>
  <si>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</si>
  <si>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</si>
  <si>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</si>
  <si>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</si>
  <si>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</si>
  <si>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</si>
  <si>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</si>
  <si>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</si>
  <si>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</si>
  <si>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</si>
  <si>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</si>
  <si>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</si>
  <si>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</si>
  <si>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</si>
  <si>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</si>
  <si>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</si>
  <si>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</si>
  <si>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</si>
  <si>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</si>
  <si>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</si>
  <si>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</si>
  <si>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</si>
  <si>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</si>
  <si>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</si>
  <si>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</si>
  <si>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</si>
  <si>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</si>
  <si>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</si>
  <si>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</si>
  <si>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</si>
  <si>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</si>
  <si>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</si>
  <si>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</si>
  <si>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</si>
  <si>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</si>
  <si>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</si>
  <si>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</si>
  <si>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</si>
  <si>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</si>
  <si>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</si>
  <si>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</si>
  <si>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</si>
  <si>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</si>
  <si>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</si>
  <si>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</si>
  <si>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</si>
  <si>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</si>
  <si>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</si>
  <si>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</si>
  <si>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</si>
  <si>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</si>
  <si>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</si>
  <si>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</si>
  <si>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</si>
  <si>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</si>
  <si>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</si>
  <si>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</si>
  <si>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</si>
  <si>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</si>
  <si>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</si>
  <si>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</si>
  <si>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</si>
  <si>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</si>
  <si>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</si>
  <si>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</si>
  <si>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</si>
  <si>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</si>
  <si>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</si>
  <si>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</si>
  <si>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</si>
  <si>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</si>
  <si>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</si>
  <si>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</si>
  <si>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</si>
  <si>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</si>
  <si>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</si>
  <si>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</si>
  <si>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</si>
  <si>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</si>
  <si>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</si>
  <si>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</si>
  <si>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</si>
  <si>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</si>
  <si>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</si>
  <si>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</si>
  <si>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</si>
  <si>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</si>
  <si>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</si>
  <si>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</si>
  <si>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</si>
  <si>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</si>
  <si>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</si>
  <si>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</si>
  <si>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</si>
  <si>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</si>
  <si>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</si>
  <si>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</si>
  <si>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</si>
  <si>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</si>
  <si>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</si>
  <si>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</si>
  <si>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</si>
  <si>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</si>
  <si>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</si>
  <si>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</si>
  <si>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</si>
  <si>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</si>
  <si>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</si>
  <si>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</si>
  <si>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</si>
  <si>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</si>
  <si>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</si>
  <si>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</si>
  <si>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</si>
  <si>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</si>
  <si>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</si>
  <si>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</si>
  <si>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</si>
  <si>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</si>
  <si>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</si>
  <si>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</si>
  <si>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</si>
  <si>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</si>
  <si>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</si>
  <si>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</si>
  <si>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</si>
  <si>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</si>
  <si>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</si>
  <si>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</si>
  <si>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</si>
  <si>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</si>
  <si>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</si>
  <si>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</si>
  <si>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</si>
  <si>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</si>
  <si>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</si>
  <si>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</si>
  <si>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</si>
  <si>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</si>
  <si>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</si>
  <si>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</si>
  <si>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</si>
  <si>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</si>
  <si>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</si>
  <si>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</si>
  <si>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</si>
  <si>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</si>
  <si>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</si>
  <si>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</si>
  <si>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</si>
  <si>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</si>
  <si>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</si>
  <si>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</si>
  <si>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</si>
  <si>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</si>
  <si>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</si>
  <si>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</si>
  <si>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</si>
  <si>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</si>
  <si>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</si>
  <si>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</si>
  <si>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</si>
  <si>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</si>
  <si>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</si>
  <si>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</si>
  <si>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</si>
  <si>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</si>
  <si>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</si>
  <si>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</si>
  <si>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</si>
  <si>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</si>
  <si>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</si>
  <si>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</si>
  <si>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</si>
  <si>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</si>
  <si>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</si>
  <si>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</si>
  <si>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</si>
  <si>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</si>
  <si>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</si>
  <si>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</si>
  <si>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</si>
  <si>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</si>
  <si>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</si>
  <si>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</si>
  <si>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</si>
  <si>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</si>
  <si>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</si>
  <si>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</si>
  <si>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</si>
  <si>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</si>
  <si>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</si>
  <si>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</si>
  <si>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</si>
  <si>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</si>
  <si>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</si>
  <si>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</si>
  <si>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</si>
  <si>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</si>
  <si>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</si>
  <si>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</si>
  <si>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</si>
  <si>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</si>
  <si>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</si>
  <si>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</si>
  <si>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</si>
  <si>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</si>
  <si>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</si>
  <si>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</si>
  <si>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</si>
  <si>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</si>
  <si>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</si>
  <si>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</si>
  <si>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</si>
  <si>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</si>
  <si>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</si>
  <si>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</si>
  <si>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</si>
  <si>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</si>
  <si>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</si>
  <si>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</si>
  <si>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</si>
  <si>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</si>
  <si>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</si>
  <si>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</si>
  <si>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</si>
  <si>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</si>
  <si>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</si>
  <si>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</si>
  <si>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</si>
  <si>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</si>
  <si>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</si>
  <si>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</si>
  <si>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</si>
  <si>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</si>
  <si>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</si>
  <si>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</si>
  <si>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</si>
  <si>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</si>
  <si>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</si>
  <si>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</si>
  <si>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</si>
  <si>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</si>
  <si>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</si>
  <si>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</si>
  <si>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</si>
  <si>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</si>
  <si>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</si>
  <si>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</si>
  <si>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</si>
  <si>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</si>
  <si>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</si>
  <si>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</si>
  <si>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</si>
  <si>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</si>
  <si>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</si>
  <si>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</si>
  <si>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</si>
  <si>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</si>
  <si>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</si>
  <si>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</si>
  <si>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</si>
  <si>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</si>
  <si>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</si>
  <si>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</si>
  <si>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</si>
  <si>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</si>
  <si>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</si>
  <si>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</si>
  <si>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</si>
  <si>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</si>
  <si>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</si>
  <si>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</si>
  <si>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</si>
  <si>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</si>
  <si>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</si>
  <si>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</si>
  <si>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</si>
  <si>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</si>
  <si>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</si>
  <si>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</si>
  <si>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</si>
  <si>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</si>
  <si>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</si>
  <si>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</si>
  <si>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</si>
  <si>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</si>
  <si>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</si>
  <si>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</si>
  <si>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</si>
  <si>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</si>
  <si>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</si>
  <si>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</si>
  <si>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</si>
  <si>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</si>
  <si>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</si>
  <si>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</si>
  <si>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</si>
  <si>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</si>
  <si>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</si>
  <si>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</si>
  <si>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</si>
  <si>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</si>
  <si>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</si>
  <si>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</si>
  <si>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</si>
  <si>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</si>
  <si>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</si>
  <si>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</si>
  <si>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</si>
  <si>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</si>
  <si>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</si>
  <si>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</si>
  <si>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</si>
  <si>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</si>
  <si>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</si>
  <si>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</si>
  <si>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</si>
  <si>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</si>
  <si>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</si>
  <si>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</si>
  <si>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</si>
  <si>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</si>
  <si>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</si>
  <si>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</si>
  <si>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</si>
  <si>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</si>
  <si>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</si>
  <si>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</si>
  <si>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</si>
  <si>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</si>
  <si>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</si>
  <si>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</si>
  <si>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</si>
  <si>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</si>
  <si>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</si>
  <si>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</si>
  <si>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</si>
  <si>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</si>
  <si>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</si>
  <si>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</si>
  <si>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</si>
  <si>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</si>
  <si>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</si>
  <si>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</si>
  <si>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</si>
  <si>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</si>
  <si>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</si>
  <si>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</si>
  <si>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</si>
  <si>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</si>
  <si>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</si>
  <si>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</si>
  <si>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</si>
  <si>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</si>
  <si>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</si>
  <si>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</si>
  <si>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</si>
  <si>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</si>
  <si>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</si>
  <si>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</si>
  <si>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</si>
  <si>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</si>
  <si>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</si>
  <si>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</si>
  <si>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</si>
  <si>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</si>
  <si>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</si>
  <si>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</si>
  <si>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</si>
  <si>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</si>
  <si>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</si>
  <si>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</si>
  <si>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</si>
  <si>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</si>
  <si>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</si>
  <si>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</si>
  <si>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</si>
  <si>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</si>
  <si>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</si>
  <si>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</si>
  <si>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</si>
  <si>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</si>
  <si>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</si>
  <si>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</si>
  <si>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</si>
  <si>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</si>
  <si>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</si>
  <si>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</si>
  <si>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</si>
  <si>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</si>
  <si>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</si>
  <si>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</si>
  <si>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</si>
  <si>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</si>
  <si>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</si>
  <si>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</si>
  <si>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</si>
  <si>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</si>
  <si>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</si>
  <si>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</si>
  <si>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</si>
  <si>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</si>
  <si>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</si>
  <si>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</si>
  <si>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</si>
  <si>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</si>
  <si>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</si>
  <si>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</si>
  <si>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</si>
  <si>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</si>
  <si>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</si>
  <si>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</si>
  <si>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</si>
  <si>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</si>
  <si>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</si>
  <si>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</si>
  <si>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</si>
  <si>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</si>
  <si>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</si>
  <si>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</si>
  <si>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</si>
  <si>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</si>
  <si>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</si>
  <si>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</si>
  <si>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</si>
  <si>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</si>
  <si>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</si>
  <si>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</si>
  <si>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</si>
  <si>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</si>
  <si>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</si>
  <si>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</si>
  <si>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</si>
  <si>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</si>
  <si>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</si>
  <si>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</si>
  <si>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</si>
  <si>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</si>
  <si>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</si>
  <si>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</si>
  <si>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</si>
  <si>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</si>
  <si>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</si>
  <si>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</si>
  <si>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</si>
  <si>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</si>
  <si>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</si>
  <si>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</si>
  <si>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</si>
  <si>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</si>
  <si>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</si>
  <si>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</si>
  <si>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</si>
  <si>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</si>
  <si>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</si>
  <si>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</si>
  <si>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</si>
  <si>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</si>
  <si>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</si>
  <si>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</si>
  <si>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</si>
  <si>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</si>
  <si>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</si>
  <si>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</si>
  <si>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</si>
  <si>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</si>
  <si>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</si>
  <si>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</si>
  <si>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</si>
  <si>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</si>
  <si>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</si>
  <si>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</si>
  <si>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</si>
  <si>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</si>
  <si>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</si>
  <si>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</si>
  <si>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</si>
  <si>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</si>
  <si>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</si>
  <si>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</si>
  <si>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</si>
  <si>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</si>
  <si>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</si>
  <si>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</si>
  <si>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</si>
  <si>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</si>
  <si>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</si>
  <si>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</si>
  <si>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</si>
  <si>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</si>
  <si>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</si>
  <si>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</si>
  <si>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</si>
  <si>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</si>
  <si>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</si>
  <si>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</si>
  <si>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</si>
  <si>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</si>
  <si>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</si>
  <si>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</si>
  <si>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</si>
  <si>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</si>
  <si>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</si>
  <si>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</si>
  <si>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</si>
  <si>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</si>
  <si>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</si>
  <si>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</si>
  <si>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</si>
  <si>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</si>
  <si>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</si>
  <si>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</si>
  <si>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</si>
  <si>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</si>
  <si>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</si>
  <si>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</si>
  <si>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</si>
  <si>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</si>
  <si>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</si>
  <si>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</si>
  <si>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</si>
  <si>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</si>
  <si>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</si>
  <si>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</si>
  <si>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</si>
  <si>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</si>
  <si>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</si>
  <si>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</si>
  <si>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</si>
  <si>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</si>
  <si>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</si>
  <si>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</si>
  <si>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</si>
  <si>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</si>
  <si>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</si>
  <si>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</si>
  <si>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</si>
  <si>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</si>
  <si>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</si>
  <si>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</si>
  <si>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</si>
  <si>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</si>
  <si>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</si>
  <si>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</si>
  <si>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</si>
  <si>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</si>
  <si>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</si>
  <si>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</si>
  <si>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</si>
  <si>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</si>
  <si>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</si>
  <si>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</si>
  <si>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</si>
  <si>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</si>
  <si>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</si>
  <si>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</si>
  <si>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</si>
  <si>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</si>
  <si>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</si>
  <si>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</si>
  <si>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</si>
  <si>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</si>
  <si>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</si>
  <si>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</si>
  <si>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</si>
  <si>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</si>
  <si>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</si>
  <si>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</si>
  <si>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</si>
  <si>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</si>
  <si>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</si>
  <si>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</si>
  <si>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</si>
  <si>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</si>
  <si>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</si>
  <si>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</si>
  <si>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</si>
  <si>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</si>
  <si>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</si>
  <si>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</si>
  <si>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</si>
  <si>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</si>
  <si>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</si>
  <si>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</si>
  <si>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</si>
  <si>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</si>
  <si>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</si>
  <si>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</si>
  <si>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</si>
  <si>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</si>
  <si>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</si>
  <si>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</si>
  <si>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</si>
  <si>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</si>
  <si>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</si>
  <si>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</si>
  <si>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</si>
  <si>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</si>
  <si>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</si>
  <si>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</si>
  <si>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</si>
  <si>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</si>
  <si>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</si>
  <si>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</si>
  <si>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</si>
  <si>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</si>
  <si>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</si>
  <si>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</si>
  <si>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</si>
  <si>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</si>
  <si>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</si>
  <si>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</si>
  <si>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</si>
  <si>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</si>
  <si>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</si>
  <si>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</si>
  <si>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</si>
  <si>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</si>
  <si>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</si>
  <si>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</si>
  <si>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</si>
  <si>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</si>
  <si>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</si>
  <si>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</si>
  <si>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</si>
  <si>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</si>
  <si>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</si>
  <si>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</si>
  <si>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</si>
  <si>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</si>
  <si>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</si>
  <si>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</si>
  <si>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</si>
  <si>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</si>
  <si>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</si>
  <si>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</si>
  <si>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</si>
  <si>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</si>
  <si>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</si>
  <si>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</si>
  <si>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</si>
  <si>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</si>
  <si>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</si>
  <si>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</si>
  <si>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</si>
  <si>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</si>
  <si>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</si>
  <si>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</si>
  <si>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</si>
  <si>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</si>
  <si>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</si>
  <si>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</si>
  <si>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</si>
  <si>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</si>
  <si>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</si>
  <si>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</si>
  <si>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</si>
  <si>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</si>
  <si>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</si>
  <si>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</si>
  <si>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</si>
  <si>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</si>
  <si>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</si>
  <si>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</si>
  <si>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</si>
  <si>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</si>
  <si>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</si>
  <si>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</si>
  <si>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</si>
  <si>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</si>
  <si>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</si>
  <si>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</si>
  <si>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</si>
  <si>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</si>
  <si>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</si>
  <si>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</si>
  <si>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</si>
  <si>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</si>
  <si>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</si>
  <si>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</si>
  <si>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</si>
  <si>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</si>
  <si>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</si>
  <si>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</si>
  <si>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</si>
  <si>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</si>
  <si>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</si>
  <si>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</si>
  <si>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</si>
  <si>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</si>
  <si>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</si>
  <si>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</si>
  <si>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</si>
  <si>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</si>
  <si>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</si>
  <si>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</si>
  <si>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</si>
  <si>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</si>
  <si>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</si>
  <si>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</si>
  <si>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</si>
  <si>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</si>
  <si>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</si>
  <si>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</si>
  <si>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</si>
  <si>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</si>
  <si>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</si>
  <si>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</si>
  <si>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</si>
  <si>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</si>
  <si>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</si>
  <si>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</si>
  <si>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</si>
  <si>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</si>
  <si>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</si>
  <si>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</si>
  <si>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</si>
  <si>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</si>
  <si>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</si>
  <si>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</si>
  <si>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</si>
  <si>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</si>
  <si>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</si>
  <si>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</si>
  <si>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</si>
  <si>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</si>
  <si>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</si>
  <si>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</si>
  <si>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</si>
  <si>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</si>
  <si>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</si>
  <si>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</si>
  <si>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</si>
  <si>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</si>
  <si>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</si>
  <si>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</si>
  <si>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</si>
  <si>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</si>
  <si>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</si>
  <si>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</si>
  <si>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</si>
  <si>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</si>
  <si>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</si>
  <si>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</si>
  <si>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</si>
  <si>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</si>
  <si>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</si>
  <si>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</si>
  <si>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</si>
  <si>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</si>
  <si>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</si>
  <si>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</si>
  <si>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</si>
  <si>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</si>
  <si>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</si>
  <si>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</si>
  <si>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</si>
  <si>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</si>
  <si>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</si>
  <si>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</si>
  <si>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</si>
  <si>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</si>
  <si>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</si>
  <si>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</si>
  <si>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</si>
  <si>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</si>
  <si>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</si>
  <si>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</si>
  <si>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</si>
  <si>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</si>
  <si>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</si>
  <si>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</si>
  <si>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</si>
  <si>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</si>
  <si>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</si>
  <si>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</si>
  <si>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</si>
  <si>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</si>
  <si>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</si>
  <si>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</si>
  <si>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</si>
  <si>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</si>
  <si>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</si>
  <si>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</si>
  <si>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</si>
  <si>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</si>
  <si>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</si>
  <si>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</si>
  <si>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</si>
  <si>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</si>
  <si>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</si>
  <si>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</si>
  <si>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</si>
  <si>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</si>
  <si>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</si>
  <si>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</si>
  <si>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</si>
  <si>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</si>
  <si>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</si>
  <si>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</si>
  <si>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</si>
  <si>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</si>
  <si>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</si>
  <si>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</si>
  <si>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</si>
  <si>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</si>
  <si>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</si>
  <si>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</si>
  <si>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</si>
  <si>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</si>
  <si>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</si>
  <si>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</si>
  <si>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</si>
  <si>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</si>
  <si>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</si>
  <si>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</si>
  <si>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</si>
  <si>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</si>
  <si>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</si>
  <si>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</si>
  <si>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</si>
  <si>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</si>
  <si>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</si>
  <si>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</si>
  <si>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</si>
  <si>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</si>
  <si>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</si>
  <si>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</si>
  <si>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</si>
  <si>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</si>
  <si>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</si>
  <si>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</si>
  <si>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</si>
  <si>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</si>
  <si>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</si>
  <si>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</si>
  <si>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</si>
  <si>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</si>
  <si>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</si>
  <si>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</si>
  <si>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</si>
  <si>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</si>
  <si>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</si>
  <si>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</si>
  <si>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</si>
  <si>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</si>
  <si>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</si>
  <si>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</si>
  <si>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</si>
  <si>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</si>
  <si>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</si>
  <si>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</si>
  <si>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</si>
  <si>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</si>
  <si>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</si>
  <si>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</si>
  <si>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</si>
  <si>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</si>
  <si>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</si>
  <si>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</si>
  <si>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</si>
  <si>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</si>
  <si>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</si>
  <si>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</si>
  <si>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</si>
  <si>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</si>
  <si>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</si>
  <si>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</si>
  <si>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</si>
  <si>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</si>
  <si>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</si>
  <si>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</si>
  <si>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</si>
  <si>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</si>
  <si>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</si>
  <si>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</si>
  <si>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</si>
  <si>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</si>
  <si>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</si>
  <si>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</si>
  <si>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</si>
  <si>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</si>
  <si>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</si>
  <si>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</si>
  <si>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</si>
  <si>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</si>
  <si>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</si>
  <si>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</si>
  <si>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</si>
  <si>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</si>
  <si>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</si>
  <si>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</si>
  <si>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</si>
  <si>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</si>
  <si>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</si>
  <si>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</si>
  <si>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</si>
  <si>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</si>
  <si>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</si>
  <si>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</si>
  <si>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</si>
  <si>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</si>
  <si>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</si>
  <si>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</si>
  <si>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</si>
  <si>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</si>
  <si>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</si>
  <si>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</si>
  <si>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</si>
  <si>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</si>
  <si>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</si>
  <si>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</si>
  <si>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</si>
  <si>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</si>
  <si>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</si>
  <si>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</si>
  <si>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</si>
  <si>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</si>
  <si>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</si>
  <si>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</si>
  <si>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</si>
  <si>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</si>
  <si>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</si>
  <si>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</si>
  <si>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</si>
  <si>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</si>
  <si>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</si>
  <si>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</si>
  <si>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</si>
  <si>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</si>
  <si>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</si>
  <si>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</si>
  <si>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</si>
  <si>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</si>
  <si>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</si>
  <si>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</si>
  <si>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</si>
  <si>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</si>
  <si>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</si>
  <si>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</si>
  <si>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</si>
  <si>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</si>
  <si>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</si>
  <si>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</si>
  <si>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</si>
  <si>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</si>
  <si>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</si>
  <si>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</si>
  <si>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</si>
  <si>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</si>
  <si>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</si>
  <si>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</si>
  <si>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</si>
  <si>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</si>
  <si>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</si>
  <si>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</si>
  <si>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</si>
  <si>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</si>
  <si>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</si>
  <si>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</si>
  <si>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</si>
  <si>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</si>
  <si>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</si>
  <si>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</si>
  <si>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</si>
  <si>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</si>
  <si>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</si>
  <si>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</si>
  <si>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</si>
  <si>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</si>
  <si>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</si>
  <si>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</si>
  <si>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</si>
  <si>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</si>
  <si>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</si>
  <si>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</si>
  <si>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</si>
  <si>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</si>
  <si>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</si>
  <si>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</si>
  <si>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</si>
  <si>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</si>
  <si>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</si>
  <si>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</si>
  <si>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</si>
  <si>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</si>
  <si>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</si>
  <si>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</si>
  <si>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</si>
  <si>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</si>
  <si>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</si>
  <si>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</si>
  <si>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</si>
  <si>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</si>
  <si>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</si>
  <si>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</si>
  <si>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</si>
  <si>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</si>
  <si>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</si>
  <si>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</si>
  <si>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</si>
  <si>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</si>
  <si>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</si>
  <si>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</si>
  <si>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</si>
  <si>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</si>
  <si>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</si>
  <si>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</si>
  <si>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</si>
  <si>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</si>
  <si>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</si>
  <si>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</si>
  <si>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</si>
  <si>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</si>
  <si>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</si>
  <si>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</si>
  <si>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</si>
  <si>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</si>
  <si>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</si>
  <si>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</si>
  <si>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</si>
  <si>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</si>
  <si>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</si>
  <si>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</si>
  <si>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</si>
  <si>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</si>
  <si>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</si>
  <si>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</si>
  <si>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</si>
  <si>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</si>
  <si>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</si>
  <si>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</si>
  <si>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</si>
  <si>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</si>
  <si>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</si>
  <si>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</si>
  <si>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</si>
  <si>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</si>
  <si>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</si>
  <si>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</si>
  <si>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</si>
  <si>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</si>
  <si>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</si>
  <si>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</si>
  <si>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</si>
  <si>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</si>
  <si>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</si>
  <si>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</si>
  <si>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</si>
  <si>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</si>
  <si>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</si>
  <si>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</si>
  <si>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</si>
  <si>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</si>
  <si>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</si>
  <si>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</si>
  <si>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</si>
  <si>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</si>
  <si>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</si>
  <si>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</si>
  <si>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</si>
  <si>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</si>
  <si>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</si>
  <si>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</si>
  <si>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</si>
  <si>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</si>
  <si>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</si>
  <si>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</si>
  <si>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</si>
  <si>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</si>
  <si>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</si>
  <si>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</si>
  <si>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</si>
  <si>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</si>
  <si>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</si>
  <si>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</si>
  <si>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</si>
  <si>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</si>
  <si>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</si>
  <si>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</si>
  <si>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</si>
  <si>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</si>
  <si>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</si>
  <si>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</si>
  <si>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</si>
  <si>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</si>
  <si>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</si>
  <si>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</si>
  <si>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</si>
  <si>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</si>
  <si>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</si>
  <si>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</si>
  <si>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</si>
  <si>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</si>
  <si>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</si>
  <si>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</si>
  <si>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</si>
  <si>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</si>
  <si>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</si>
  <si>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</si>
  <si>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</si>
  <si>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</si>
  <si>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</si>
  <si>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</si>
  <si>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</si>
  <si>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</si>
  <si>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</si>
  <si>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</si>
  <si>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</si>
  <si>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</si>
  <si>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</si>
  <si>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</si>
  <si>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</si>
  <si>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</si>
  <si>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</si>
  <si>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</si>
  <si>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</si>
  <si>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</si>
  <si>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</si>
  <si>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</si>
  <si>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</si>
  <si>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</si>
  <si>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</si>
  <si>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</si>
  <si>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</si>
  <si>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</si>
  <si>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</si>
  <si>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</si>
  <si>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</si>
  <si>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</si>
  <si>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</si>
  <si>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</si>
  <si>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</si>
  <si>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</si>
  <si>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</si>
  <si>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</si>
  <si>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</si>
  <si>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</si>
  <si>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</si>
  <si>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</si>
  <si>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</si>
  <si>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</si>
  <si>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</si>
  <si>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</si>
  <si>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</si>
  <si>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</si>
  <si>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</si>
  <si>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</si>
  <si>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</si>
  <si>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</si>
  <si>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</si>
  <si>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</si>
  <si>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</si>
  <si>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</si>
  <si>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</si>
  <si>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</si>
  <si>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</si>
  <si>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</si>
  <si>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</si>
  <si>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</si>
  <si>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</si>
  <si>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</si>
  <si>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</si>
  <si>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</si>
  <si>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</si>
  <si>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</si>
  <si>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</si>
  <si>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</si>
  <si>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</si>
  <si>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</si>
  <si>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</si>
  <si>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</si>
  <si>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</si>
  <si>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</si>
  <si>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</si>
  <si>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</si>
  <si>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</si>
  <si>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</si>
  <si>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</si>
  <si>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</si>
  <si>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</si>
  <si>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</si>
  <si>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</si>
  <si>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</si>
  <si>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</si>
  <si>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</si>
  <si>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</si>
  <si>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</si>
  <si>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</si>
  <si>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</si>
  <si>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</si>
  <si>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</si>
  <si>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</si>
  <si>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</si>
  <si>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</si>
  <si>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</si>
  <si>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</si>
  <si>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</si>
  <si>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</si>
  <si>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</si>
  <si>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</si>
  <si>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</si>
  <si>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</si>
  <si>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</si>
  <si>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</si>
  <si>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</si>
  <si>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</si>
  <si>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</si>
  <si>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</si>
  <si>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</si>
  <si>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</si>
  <si>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</si>
  <si>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</si>
  <si>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</si>
  <si>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</si>
  <si>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</si>
  <si>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</si>
  <si>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</si>
  <si>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</si>
  <si>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</si>
  <si>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</si>
  <si>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</si>
  <si>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</si>
  <si>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</si>
  <si>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</si>
  <si>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</si>
  <si>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</si>
  <si>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</si>
  <si>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</si>
  <si>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</si>
  <si>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</si>
  <si>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</si>
  <si>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</si>
  <si>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</si>
  <si>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</si>
  <si>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</si>
  <si>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</si>
  <si>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</si>
  <si>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</si>
  <si>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</si>
  <si>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</si>
  <si>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</si>
  <si>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</si>
  <si>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</si>
  <si>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</si>
  <si>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</si>
  <si>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</si>
  <si>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</si>
  <si>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</si>
  <si>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</si>
  <si>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</si>
  <si>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</si>
  <si>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</si>
  <si>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</si>
  <si>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</si>
  <si>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</si>
  <si>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</si>
  <si>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</si>
  <si>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</si>
  <si>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</si>
  <si>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</si>
  <si>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</si>
  <si>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</si>
  <si>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</si>
  <si>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</si>
  <si>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</si>
  <si>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</si>
  <si>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</si>
  <si>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</si>
  <si>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</si>
  <si>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</si>
  <si>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</si>
  <si>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</si>
  <si>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</si>
  <si>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</si>
  <si>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</si>
  <si>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</si>
  <si>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</si>
  <si>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</si>
  <si>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</si>
  <si>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</si>
  <si>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</si>
  <si>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</si>
  <si>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</si>
  <si>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</si>
  <si>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</si>
  <si>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</si>
  <si>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</si>
  <si>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</si>
  <si>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</si>
  <si>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</si>
  <si>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</si>
  <si>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</si>
  <si>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</si>
  <si>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</si>
  <si>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</si>
  <si>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</si>
  <si>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</si>
  <si>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</si>
  <si>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</si>
  <si>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</si>
  <si>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</si>
  <si>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</si>
  <si>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</si>
  <si>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</si>
  <si>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</si>
  <si>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</si>
  <si>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</si>
  <si>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</si>
  <si>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</si>
  <si>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</si>
  <si>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</si>
  <si>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</si>
  <si>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</si>
  <si>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</si>
  <si>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</si>
  <si>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</si>
  <si>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</si>
  <si>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</si>
  <si>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</si>
  <si>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</si>
  <si>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</si>
  <si>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</si>
  <si>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</si>
  <si>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</si>
  <si>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</si>
  <si>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</si>
  <si>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</si>
  <si>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</si>
  <si>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</si>
  <si>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</si>
  <si>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</si>
  <si>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</si>
  <si>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</si>
  <si>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</si>
  <si>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</si>
  <si>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</si>
  <si>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</si>
  <si>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</si>
  <si>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</si>
  <si>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</si>
  <si>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</si>
  <si>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</si>
  <si>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</si>
  <si>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</si>
  <si>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</si>
  <si>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</si>
  <si>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</si>
  <si>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</si>
  <si>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</si>
  <si>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</si>
  <si>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</si>
  <si>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</si>
  <si>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</si>
  <si>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</si>
  <si>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</si>
  <si>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</si>
  <si>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</si>
  <si>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</si>
  <si>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</si>
  <si>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</si>
  <si>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</si>
  <si>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</si>
  <si>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</si>
  <si>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</si>
  <si>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</si>
  <si>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</si>
  <si>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</si>
  <si>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</si>
  <si>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</si>
  <si>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</si>
  <si>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</si>
  <si>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</si>
  <si>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</si>
  <si>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</si>
  <si>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</si>
  <si>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</si>
  <si>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</si>
  <si>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</si>
  <si>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</si>
  <si>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</si>
  <si>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</si>
  <si>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</si>
  <si>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</si>
  <si>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</si>
  <si>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</si>
  <si>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</si>
  <si>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</si>
  <si>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</si>
  <si>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</si>
  <si>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</si>
  <si>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</si>
  <si>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</si>
  <si>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</si>
  <si>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</si>
  <si>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</si>
  <si>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</si>
  <si>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</si>
  <si>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</si>
  <si>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</si>
  <si>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</si>
  <si>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</si>
  <si>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</si>
  <si>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</si>
  <si>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</si>
  <si>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</si>
  <si>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</si>
  <si>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</si>
  <si>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</si>
  <si>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</si>
  <si>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</si>
  <si>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</si>
  <si>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</si>
  <si>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</si>
  <si>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</si>
  <si>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</si>
  <si>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</si>
  <si>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</si>
  <si>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</si>
  <si>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</si>
  <si>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</si>
  <si>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</si>
  <si>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</si>
  <si>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</si>
  <si>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</si>
  <si>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</si>
  <si>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</si>
  <si>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</si>
  <si>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</si>
  <si>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</si>
  <si>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</si>
  <si>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</si>
  <si>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</si>
  <si>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</si>
  <si>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</si>
  <si>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</si>
  <si>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</si>
  <si>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</si>
  <si>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</si>
  <si>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</si>
  <si>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</si>
  <si>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</si>
  <si>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</si>
  <si>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</si>
  <si>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</si>
  <si>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</si>
  <si>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</si>
  <si>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</si>
  <si>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</si>
  <si>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</si>
  <si>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</si>
  <si>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</si>
  <si>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</si>
  <si>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</si>
  <si>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</si>
  <si>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</si>
  <si>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</si>
  <si>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</si>
  <si>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</si>
  <si>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</si>
  <si>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</si>
  <si>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</si>
  <si>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</si>
  <si>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</si>
  <si>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</si>
  <si>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</si>
  <si>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</si>
  <si>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</si>
  <si>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</si>
  <si>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</si>
  <si>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</si>
  <si>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</si>
  <si>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</si>
  <si>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</si>
  <si>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</si>
  <si>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</si>
  <si>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</si>
  <si>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</si>
  <si>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</si>
  <si>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</si>
  <si>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</si>
  <si>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</si>
  <si>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</si>
  <si>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</si>
  <si>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</si>
  <si>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</si>
  <si>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</si>
  <si>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</si>
  <si>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</si>
  <si>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</si>
  <si>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</si>
  <si>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</si>
  <si>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</si>
  <si>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</si>
  <si>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</si>
  <si>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</si>
  <si>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</si>
  <si>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</si>
  <si>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</si>
  <si>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</si>
  <si>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</si>
  <si>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</si>
  <si>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</si>
  <si>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</si>
  <si>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</si>
  <si>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</si>
  <si>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</si>
  <si>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</si>
  <si>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</si>
  <si>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</si>
  <si>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</si>
  <si>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</si>
  <si>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</si>
  <si>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</si>
  <si>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</si>
  <si>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</si>
  <si>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</si>
  <si>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</si>
  <si>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</si>
  <si>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</si>
  <si>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</si>
  <si>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</si>
  <si>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</si>
  <si>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</si>
  <si>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</si>
  <si>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</si>
  <si>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</si>
  <si>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</si>
  <si>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</si>
  <si>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</si>
  <si>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</si>
  <si>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</si>
  <si>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</si>
  <si>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</si>
  <si>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</si>
  <si>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</si>
  <si>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</si>
  <si>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</si>
  <si>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</si>
  <si>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</si>
  <si>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</si>
  <si>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</si>
  <si>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</si>
  <si>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</si>
  <si>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</si>
  <si>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</si>
  <si>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</si>
  <si>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</si>
  <si>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</si>
  <si>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</si>
  <si>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</si>
  <si>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</si>
  <si>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</si>
  <si>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</si>
  <si>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</si>
  <si>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</si>
  <si>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</si>
  <si>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</si>
  <si>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</si>
  <si>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</si>
  <si>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</si>
  <si>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</si>
  <si>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</si>
  <si>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</si>
  <si>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</si>
  <si>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</si>
  <si>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</si>
  <si>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</si>
  <si>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</si>
  <si>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</si>
  <si>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</si>
  <si>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</si>
  <si>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</si>
  <si>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</si>
  <si>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</si>
  <si>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</si>
  <si>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</si>
  <si>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</si>
  <si>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</si>
  <si>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</si>
  <si>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</si>
  <si>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</si>
  <si>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</si>
  <si>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</si>
  <si>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</si>
  <si>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</si>
  <si>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</si>
  <si>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</si>
  <si>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</si>
  <si>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</si>
  <si>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</si>
  <si>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</si>
  <si>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</si>
  <si>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</si>
  <si>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</si>
  <si>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</si>
  <si>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</si>
  <si>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</si>
  <si>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</si>
  <si>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</si>
  <si>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</si>
  <si>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</si>
  <si>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</si>
  <si>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</si>
  <si>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</si>
  <si>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</si>
  <si>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</si>
  <si>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</si>
  <si>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</si>
  <si>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</si>
  <si>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</si>
  <si>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</si>
  <si>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</si>
  <si>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</si>
  <si>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</si>
  <si>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</si>
  <si>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</si>
  <si>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</si>
  <si>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</si>
  <si>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</si>
  <si>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</si>
  <si>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</si>
  <si>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</si>
  <si>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</si>
  <si>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</si>
  <si>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</si>
  <si>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</si>
  <si>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</si>
  <si>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</si>
  <si>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</si>
  <si>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</si>
  <si>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</si>
  <si>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</si>
  <si>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</si>
  <si>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</si>
  <si>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</si>
  <si>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</si>
  <si>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</si>
  <si>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</si>
  <si>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</si>
  <si>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</si>
  <si>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</si>
  <si>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</si>
  <si>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</si>
  <si>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</si>
  <si>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</si>
  <si>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</si>
  <si>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</si>
  <si>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</si>
  <si>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</si>
  <si>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</si>
  <si>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</si>
  <si>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</si>
  <si>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</si>
  <si>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</si>
  <si>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</si>
  <si>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</si>
  <si>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</si>
  <si>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</si>
  <si>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</si>
  <si>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</si>
  <si>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</si>
  <si>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</si>
  <si>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</si>
  <si>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</si>
  <si>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</si>
  <si>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</si>
  <si>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</si>
  <si>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</si>
  <si>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</si>
  <si>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</si>
  <si>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</si>
  <si>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</si>
  <si>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</si>
  <si>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</si>
  <si>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</si>
  <si>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</si>
  <si>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</si>
  <si>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</si>
  <si>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</si>
  <si>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</si>
  <si>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</si>
  <si>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</si>
  <si>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</si>
  <si>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</si>
  <si>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</si>
  <si>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</si>
  <si>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</si>
  <si>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</si>
  <si>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</si>
  <si>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</si>
  <si>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</si>
  <si>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</si>
  <si>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</si>
  <si>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</si>
  <si>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</si>
  <si>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</si>
  <si>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</si>
  <si>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</si>
  <si>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</si>
  <si>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</si>
  <si>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</si>
  <si>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</si>
  <si>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</si>
  <si>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</si>
  <si>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</si>
  <si>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</si>
  <si>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</si>
  <si>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</si>
  <si>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</si>
  <si>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</si>
  <si>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</si>
  <si>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</si>
  <si>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</si>
  <si>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</si>
  <si>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</si>
  <si>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</si>
  <si>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</si>
  <si>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</si>
  <si>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</si>
  <si>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</si>
  <si>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</si>
  <si>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</si>
  <si>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</si>
  <si>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</si>
  <si>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</si>
  <si>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</si>
  <si>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</si>
  <si>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</si>
  <si>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</si>
  <si>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</si>
  <si>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</si>
  <si>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</si>
  <si>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</si>
  <si>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</si>
  <si>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</si>
  <si>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</si>
  <si>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</si>
  <si>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</si>
  <si>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</si>
  <si>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</si>
  <si>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</si>
  <si>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</si>
  <si>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</si>
  <si>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</si>
  <si>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</si>
  <si>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</si>
  <si>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</si>
  <si>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</si>
  <si>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</si>
  <si>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</si>
  <si>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</si>
  <si>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</si>
  <si>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</si>
  <si>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</si>
  <si>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</si>
  <si>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</si>
  <si>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</si>
  <si>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</si>
  <si>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</si>
  <si>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</si>
  <si>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</si>
  <si>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</si>
  <si>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</si>
  <si>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</si>
  <si>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</si>
  <si>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</si>
  <si>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</si>
  <si>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</si>
  <si>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</si>
  <si>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</si>
  <si>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</si>
  <si>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</si>
  <si>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</si>
  <si>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</si>
  <si>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</si>
  <si>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</si>
  <si>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</si>
  <si>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</si>
  <si>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</si>
  <si>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</si>
  <si>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</si>
  <si>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</si>
  <si>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</si>
  <si>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</si>
  <si>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</si>
  <si>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</si>
  <si>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</si>
  <si>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</si>
  <si>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</si>
  <si>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</si>
  <si>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</si>
  <si>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</si>
  <si>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</si>
  <si>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</si>
  <si>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</si>
  <si>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</si>
  <si>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</si>
  <si>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</si>
  <si>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</si>
  <si>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</si>
  <si>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</si>
  <si>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</si>
  <si>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</si>
  <si>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</si>
  <si>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</si>
  <si>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</si>
  <si>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</si>
  <si>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</si>
  <si>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</si>
  <si>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</si>
  <si>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</si>
  <si>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</si>
  <si>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</si>
  <si>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</si>
  <si>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</si>
  <si>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</si>
  <si>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</si>
  <si>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</si>
  <si>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</si>
  <si>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</si>
  <si>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</si>
  <si>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</si>
  <si>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</si>
  <si>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</si>
  <si>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</si>
  <si>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</si>
  <si>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</si>
  <si>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</si>
  <si>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</si>
  <si>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</si>
  <si>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</si>
  <si>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</si>
  <si>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</si>
  <si>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</si>
  <si>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</si>
  <si>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</si>
  <si>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</si>
  <si>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</si>
  <si>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</si>
  <si>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</si>
  <si>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</si>
  <si>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</si>
  <si>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</si>
  <si>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</si>
  <si>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</si>
  <si>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</si>
  <si>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</si>
  <si>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</si>
  <si>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</si>
  <si>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</si>
  <si>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</si>
  <si>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</si>
  <si>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</si>
  <si>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</si>
  <si>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</si>
  <si>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</si>
  <si>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</si>
  <si>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</si>
  <si>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</si>
  <si>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</si>
  <si>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</si>
  <si>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</si>
  <si>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</si>
  <si>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</si>
  <si>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</si>
  <si>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</si>
  <si>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</si>
  <si>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</si>
  <si>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</si>
  <si>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</si>
  <si>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</si>
  <si>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</si>
  <si>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</si>
  <si>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</si>
  <si>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</si>
  <si>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</si>
  <si>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</si>
  <si>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</si>
  <si>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</si>
  <si>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</si>
  <si>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</si>
  <si>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</si>
  <si>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</si>
  <si>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</si>
  <si>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</si>
  <si>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</si>
  <si>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</si>
  <si>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</si>
  <si>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</si>
  <si>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</si>
  <si>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</si>
  <si>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</si>
  <si>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</si>
  <si>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</si>
  <si>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</si>
  <si>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</si>
  <si>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</si>
  <si>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</si>
  <si>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</si>
  <si>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</si>
  <si>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</si>
  <si>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</si>
  <si>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</si>
  <si>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</si>
  <si>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</si>
  <si>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</si>
  <si>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</si>
  <si>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</si>
  <si>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</si>
  <si>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</si>
  <si>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</si>
  <si>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</si>
  <si>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</si>
  <si>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</si>
  <si>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</si>
  <si>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</si>
  <si>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</si>
  <si>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</si>
  <si>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</si>
  <si>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</si>
  <si>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</si>
  <si>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</si>
  <si>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</si>
  <si>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</si>
  <si>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</si>
  <si>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</si>
  <si>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</si>
  <si>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</si>
  <si>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</si>
  <si>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</si>
  <si>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</si>
  <si>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</si>
  <si>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</si>
  <si>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</si>
  <si>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</si>
  <si>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</si>
  <si>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</si>
  <si>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</si>
  <si>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</si>
  <si>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</si>
  <si>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</si>
  <si>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</si>
  <si>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</si>
  <si>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</si>
  <si>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</si>
  <si>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</si>
  <si>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</si>
  <si>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</si>
  <si>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</si>
  <si>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</si>
  <si>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</si>
  <si>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</si>
  <si>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</si>
  <si>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</si>
  <si>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</si>
  <si>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</si>
  <si>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</si>
  <si>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</si>
  <si>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</si>
  <si>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</si>
  <si>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</si>
  <si>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</si>
  <si>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</si>
  <si>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</si>
  <si>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</si>
  <si>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</si>
  <si>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</si>
  <si>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</si>
  <si>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</si>
  <si>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</si>
  <si>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</si>
  <si>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</si>
  <si>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</si>
  <si>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</si>
  <si>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</si>
  <si>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</si>
  <si>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</si>
  <si>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</si>
  <si>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</si>
  <si>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</si>
  <si>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</si>
  <si>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</si>
  <si>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</si>
  <si>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</si>
  <si>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</si>
  <si>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</si>
  <si>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</si>
  <si>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</si>
  <si>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</si>
  <si>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</si>
  <si>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</si>
  <si>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</si>
  <si>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</si>
  <si>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</si>
  <si>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</si>
  <si>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</si>
  <si>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</si>
  <si>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</si>
  <si>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</si>
  <si>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</si>
  <si>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</si>
  <si>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</si>
  <si>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</si>
  <si>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</si>
  <si>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</si>
  <si>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</si>
  <si>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</si>
  <si>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</si>
  <si>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</si>
  <si>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</si>
  <si>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</si>
  <si>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</si>
  <si>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</si>
  <si>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</si>
  <si>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</si>
  <si>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</si>
  <si>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</si>
  <si>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</si>
  <si>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</si>
  <si>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</si>
  <si>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</si>
  <si>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</si>
  <si>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</si>
  <si>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</si>
  <si>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</si>
  <si>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</si>
  <si>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</si>
  <si>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</si>
  <si>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</si>
  <si>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</si>
  <si>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</si>
  <si>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</si>
  <si>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</si>
  <si>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</si>
  <si>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</si>
  <si>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</si>
  <si>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</si>
  <si>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</si>
  <si>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</si>
  <si>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</si>
  <si>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</si>
  <si>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</si>
  <si>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</si>
  <si>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</si>
  <si>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</si>
  <si>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</si>
  <si>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</si>
  <si>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</si>
  <si>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</si>
  <si>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</si>
  <si>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</si>
  <si>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</si>
  <si>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</si>
  <si>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</si>
  <si>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</si>
  <si>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</si>
  <si>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</si>
  <si>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</si>
  <si>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</si>
  <si>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</si>
  <si>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</si>
  <si>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</si>
  <si>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</si>
  <si>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</si>
  <si>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</si>
  <si>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</si>
  <si>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</si>
  <si>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</si>
  <si>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</si>
  <si>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</si>
  <si>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</si>
  <si>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</si>
  <si>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</si>
  <si>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</si>
  <si>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</si>
  <si>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</si>
  <si>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</si>
  <si>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</si>
  <si>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</si>
  <si>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</si>
  <si>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</si>
  <si>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</si>
  <si>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</si>
  <si>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</si>
  <si>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</si>
  <si>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</si>
  <si>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</si>
  <si>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</si>
  <si>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</si>
  <si>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</si>
  <si>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</si>
  <si>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</si>
  <si>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</si>
  <si>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</si>
  <si>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</si>
  <si>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</si>
  <si>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</si>
  <si>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</si>
  <si>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</si>
  <si>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</si>
  <si>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</si>
  <si>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</si>
  <si>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</si>
  <si>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</si>
  <si>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</si>
  <si>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</si>
  <si>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</si>
  <si>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</si>
  <si>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</si>
  <si>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</si>
  <si>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</si>
  <si>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</si>
  <si>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</si>
  <si>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</si>
  <si>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</si>
  <si>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</si>
  <si>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</si>
  <si>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</si>
  <si>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</si>
  <si>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</si>
  <si>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</si>
  <si>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</si>
  <si>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</si>
  <si>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</si>
  <si>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</si>
  <si>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</si>
  <si>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</si>
  <si>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</si>
  <si>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</si>
  <si>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</si>
  <si>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</si>
  <si>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</si>
  <si>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</si>
  <si>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</si>
  <si>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</si>
  <si>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</si>
  <si>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</si>
  <si>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</si>
  <si>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</si>
  <si>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</si>
  <si>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</si>
  <si>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</si>
  <si>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</si>
  <si>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</si>
  <si>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</si>
  <si>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</si>
  <si>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</si>
  <si>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</si>
  <si>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</si>
  <si>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</si>
  <si>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</si>
  <si>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</si>
  <si>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</si>
  <si>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</si>
  <si>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</si>
  <si>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</si>
  <si>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</si>
  <si>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</si>
  <si>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</si>
  <si>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</si>
  <si>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</si>
  <si>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</si>
  <si>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</si>
  <si>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</si>
  <si>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</si>
  <si>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</si>
  <si>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</si>
  <si>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</si>
  <si>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</si>
  <si>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</si>
  <si>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</si>
  <si>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</si>
  <si>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</si>
  <si>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</si>
  <si>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</si>
  <si>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</si>
  <si>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</si>
  <si>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</si>
  <si>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</si>
  <si>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</si>
  <si>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</si>
  <si>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</si>
  <si>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</si>
  <si>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</si>
  <si>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</si>
  <si>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</si>
  <si>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</si>
  <si>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</si>
  <si>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</si>
  <si>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</si>
  <si>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</si>
  <si>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</si>
  <si>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</si>
  <si>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</si>
  <si>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</si>
  <si>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</si>
  <si>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</si>
  <si>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</si>
  <si>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</si>
  <si>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</si>
  <si>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</si>
  <si>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</si>
  <si>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</si>
  <si>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</si>
  <si>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</si>
  <si>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</si>
  <si>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</si>
  <si>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</si>
  <si>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</si>
  <si>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</si>
  <si>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</si>
  <si>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</si>
  <si>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</si>
  <si>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</si>
  <si>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</si>
  <si>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</si>
  <si>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</si>
  <si>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</si>
  <si>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</si>
  <si>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</si>
  <si>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</si>
  <si>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</si>
  <si>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</si>
  <si>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</si>
  <si>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</si>
  <si>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</si>
  <si>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</si>
  <si>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</si>
  <si>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</si>
  <si>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</si>
  <si>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</si>
  <si>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</si>
  <si>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</si>
  <si>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</si>
  <si>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</si>
  <si>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</si>
  <si>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</si>
  <si>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</si>
  <si>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</si>
  <si>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</si>
  <si>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</si>
  <si>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</si>
  <si>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</si>
  <si>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</si>
  <si>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</si>
  <si>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</si>
  <si>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</si>
  <si>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</si>
  <si>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</si>
  <si>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</si>
  <si>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</si>
  <si>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</si>
  <si>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</si>
  <si>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</si>
  <si>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</si>
  <si>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</si>
  <si>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</si>
  <si>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</si>
  <si>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</si>
  <si>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</si>
  <si>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</si>
  <si>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</si>
  <si>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</si>
  <si>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</si>
  <si>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</si>
  <si>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</si>
  <si>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</si>
  <si>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</si>
  <si>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</si>
  <si>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</si>
  <si>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</si>
  <si>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</si>
  <si>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</si>
  <si>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</si>
  <si>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</si>
  <si>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</si>
  <si>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</si>
  <si>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</si>
  <si>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</si>
  <si>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</si>
  <si>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</si>
  <si>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</si>
  <si>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</si>
  <si>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</si>
  <si>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</si>
  <si>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</si>
  <si>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</si>
  <si>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</si>
  <si>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</si>
  <si>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</si>
  <si>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</si>
  <si>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</si>
  <si>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</si>
  <si>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</si>
  <si>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</si>
  <si>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</si>
  <si>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</si>
  <si>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</si>
  <si>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</si>
  <si>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</si>
  <si>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</si>
  <si>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</si>
  <si>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</si>
  <si>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</si>
  <si>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</si>
  <si>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</si>
  <si>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</si>
  <si>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</si>
  <si>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</si>
  <si>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</si>
  <si>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</si>
  <si>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</si>
  <si>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</si>
  <si>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</si>
  <si>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</si>
  <si>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</si>
  <si>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</si>
  <si>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</si>
  <si>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</si>
  <si>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</si>
  <si>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</si>
  <si>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</si>
  <si>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</si>
  <si>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</si>
  <si>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</si>
  <si>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</si>
  <si>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</si>
  <si>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</si>
  <si>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</si>
  <si>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</si>
  <si>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</si>
  <si>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</si>
  <si>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</si>
  <si>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</si>
  <si>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</si>
  <si>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</si>
  <si>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</si>
  <si>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</si>
  <si>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</si>
  <si>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</si>
  <si>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</si>
  <si>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</si>
  <si>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</si>
  <si>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</si>
  <si>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</si>
  <si>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</si>
  <si>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</si>
  <si>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</si>
  <si>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</si>
  <si>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</si>
  <si>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</si>
  <si>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</si>
  <si>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</si>
  <si>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</si>
  <si>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</si>
  <si>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</si>
  <si>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</si>
  <si>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</si>
  <si>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</si>
  <si>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</si>
  <si>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</si>
  <si>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</si>
  <si>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</si>
  <si>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</si>
  <si>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</si>
  <si>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</si>
  <si>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</si>
  <si>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</si>
  <si>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</si>
  <si>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</si>
  <si>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</si>
  <si>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</si>
  <si>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</si>
  <si>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</si>
  <si>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</si>
  <si>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</si>
  <si>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</si>
  <si>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</si>
  <si>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</si>
  <si>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</si>
  <si>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</si>
  <si>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</si>
  <si>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</si>
  <si>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</si>
  <si>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</si>
  <si>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</si>
  <si>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</si>
  <si>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</si>
  <si>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</si>
  <si>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</si>
  <si>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</si>
  <si>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</si>
  <si>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</si>
  <si>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</si>
  <si>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</si>
  <si>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</si>
  <si>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</si>
  <si>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</si>
  <si>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</si>
  <si>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</si>
  <si>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</si>
  <si>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</si>
  <si>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</si>
  <si>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</si>
  <si>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</si>
  <si>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</si>
  <si>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</si>
  <si>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</si>
  <si>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</si>
  <si>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</si>
  <si>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</si>
  <si>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</si>
  <si>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</si>
  <si>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</si>
  <si>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</si>
  <si>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</si>
  <si>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</si>
  <si>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</si>
  <si>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</si>
  <si>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</si>
  <si>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</si>
  <si>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</si>
  <si>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</si>
  <si>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</si>
  <si>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</si>
  <si>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</si>
  <si>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</si>
  <si>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</si>
  <si>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</si>
  <si>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</si>
  <si>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</si>
  <si>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</si>
  <si>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</si>
  <si>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</si>
  <si>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</si>
  <si>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</si>
  <si>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</si>
  <si>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</si>
  <si>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</si>
  <si>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</si>
  <si>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</si>
  <si>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</si>
  <si>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</si>
  <si>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</si>
  <si>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</si>
  <si>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</si>
  <si>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</si>
  <si>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</si>
  <si>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</si>
  <si>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</si>
  <si>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</si>
  <si>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</si>
  <si>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</si>
  <si>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</si>
  <si>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</si>
  <si>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</si>
  <si>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</si>
  <si>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</si>
  <si>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</si>
  <si>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</si>
  <si>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</si>
  <si>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</si>
  <si>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</si>
  <si>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</si>
  <si>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</si>
  <si>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</si>
  <si>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</si>
  <si>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</si>
  <si>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</si>
  <si>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</si>
  <si>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</si>
  <si>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</si>
  <si>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</si>
  <si>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</si>
  <si>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</si>
  <si>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</si>
  <si>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</si>
  <si>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</si>
  <si>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</si>
  <si>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</si>
  <si>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</si>
  <si>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</si>
  <si>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</si>
  <si>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</si>
  <si>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</si>
  <si>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</si>
  <si>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</si>
  <si>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</si>
  <si>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</si>
  <si>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</si>
  <si>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</si>
  <si>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</si>
  <si>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</si>
  <si>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</si>
  <si>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</si>
  <si>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</si>
  <si>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</si>
  <si>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</si>
  <si>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</si>
  <si>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</si>
  <si>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</si>
  <si>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</si>
  <si>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</si>
  <si>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</si>
  <si>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</si>
  <si>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</si>
  <si>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</si>
  <si>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</si>
  <si>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</si>
  <si>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</si>
  <si>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</si>
  <si>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</si>
  <si>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</si>
  <si>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</si>
  <si>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</si>
  <si>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</si>
  <si>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</si>
  <si>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</si>
  <si>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</si>
  <si>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</si>
  <si>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</si>
  <si>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</si>
  <si>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</si>
  <si>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</si>
  <si>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</si>
  <si>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</si>
  <si>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</si>
  <si>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</si>
  <si>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</si>
  <si>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</si>
  <si>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</si>
  <si>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</si>
  <si>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</si>
  <si>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</si>
  <si>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</si>
  <si>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</si>
  <si>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</si>
  <si>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</si>
  <si>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</si>
  <si>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</si>
  <si>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</si>
  <si>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</si>
  <si>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</si>
  <si>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</si>
  <si>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</si>
  <si>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</si>
  <si>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</si>
  <si>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</si>
  <si>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</si>
  <si>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</si>
  <si>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</si>
  <si>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</si>
  <si>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</si>
  <si>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</si>
  <si>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</si>
  <si>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</si>
  <si>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</si>
  <si>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</si>
  <si>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</si>
  <si>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</si>
  <si>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</si>
  <si>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</si>
  <si>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</si>
  <si>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</si>
  <si>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</si>
  <si>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</si>
  <si>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</si>
  <si>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</si>
  <si>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</si>
  <si>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</si>
  <si>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</si>
  <si>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</si>
  <si>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</si>
  <si>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</si>
  <si>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</si>
  <si>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</si>
  <si>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</si>
  <si>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</si>
  <si>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</si>
  <si>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</si>
  <si>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</si>
  <si>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</si>
  <si>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</si>
  <si>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</si>
  <si>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</si>
  <si>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</si>
  <si>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</si>
  <si>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</si>
  <si>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</si>
  <si>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</si>
  <si>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</si>
  <si>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</si>
  <si>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</si>
  <si>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</si>
  <si>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</si>
  <si>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</si>
  <si>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</si>
  <si>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</si>
  <si>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</si>
  <si>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</si>
  <si>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</si>
  <si>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</si>
  <si>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</si>
  <si>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</si>
  <si>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</si>
  <si>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</si>
  <si>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</si>
  <si>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</si>
  <si>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</si>
  <si>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</si>
  <si>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</si>
  <si>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</si>
  <si>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</si>
  <si>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</si>
  <si>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</si>
  <si>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</si>
  <si>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</si>
  <si>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</si>
  <si>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</si>
  <si>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</si>
  <si>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</si>
  <si>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</si>
  <si>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</si>
  <si>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</si>
  <si>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</si>
  <si>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</si>
  <si>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</si>
  <si>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</si>
  <si>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</si>
  <si>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</si>
  <si>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</si>
  <si>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</si>
  <si>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</si>
  <si>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</si>
  <si>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</si>
  <si>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</si>
  <si>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</si>
  <si>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</si>
  <si>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</si>
  <si>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</si>
  <si>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</si>
  <si>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</si>
  <si>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</si>
  <si>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</si>
  <si>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</si>
  <si>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</si>
  <si>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</si>
  <si>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</si>
  <si>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</si>
  <si>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</si>
  <si>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</si>
  <si>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</si>
  <si>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</si>
  <si>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</si>
  <si>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</si>
  <si>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</si>
  <si>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</si>
  <si>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</si>
  <si>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</si>
  <si>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</si>
  <si>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</si>
  <si>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</si>
  <si>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</si>
  <si>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</si>
  <si>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</si>
  <si>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</si>
  <si>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</si>
  <si>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</si>
  <si>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</si>
  <si>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</si>
  <si>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</si>
  <si>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</si>
  <si>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</si>
  <si>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</si>
  <si>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</si>
  <si>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</si>
  <si>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</si>
  <si>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</si>
  <si>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</si>
  <si>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</si>
  <si>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</si>
  <si>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</si>
  <si>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</si>
  <si>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</si>
  <si>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</si>
  <si>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</si>
  <si>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</si>
  <si>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</si>
  <si>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</si>
  <si>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</si>
  <si>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</si>
  <si>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</si>
  <si>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</si>
  <si>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</si>
  <si>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</si>
  <si>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</si>
  <si>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</si>
  <si>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</si>
  <si>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</si>
  <si>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</si>
  <si>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</si>
  <si>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</si>
  <si>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</si>
  <si>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</si>
  <si>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</si>
  <si>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</si>
  <si>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</si>
  <si>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</si>
  <si>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</si>
  <si>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</si>
  <si>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</si>
  <si>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</si>
  <si>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</si>
  <si>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</si>
  <si>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</si>
  <si>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</si>
  <si>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</si>
  <si>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</si>
  <si>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</si>
  <si>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</si>
  <si>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</si>
  <si>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</si>
  <si>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</si>
  <si>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</si>
  <si>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</si>
  <si>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</si>
  <si>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</si>
  <si>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</si>
  <si>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</si>
  <si>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</si>
  <si>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</si>
  <si>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</si>
  <si>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</si>
  <si>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</si>
  <si>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</si>
  <si>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</si>
  <si>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</si>
  <si>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</si>
  <si>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</si>
  <si>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</si>
  <si>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</si>
  <si>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</si>
  <si>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</si>
  <si>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</si>
  <si>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</si>
  <si>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</si>
  <si>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</si>
  <si>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</si>
  <si>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</si>
  <si>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</si>
  <si>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</si>
  <si>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</si>
  <si>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</si>
  <si>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</si>
  <si>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</si>
  <si>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</si>
  <si>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</si>
  <si>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</si>
  <si>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</si>
  <si>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</si>
  <si>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</si>
  <si>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</si>
  <si>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</si>
  <si>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</si>
  <si>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</si>
  <si>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</si>
  <si>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</si>
  <si>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</si>
  <si>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</si>
  <si>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</si>
  <si>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</si>
  <si>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</si>
  <si>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</si>
  <si>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</si>
  <si>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</si>
  <si>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</si>
  <si>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</si>
  <si>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</si>
  <si>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</si>
  <si>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</si>
  <si>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</si>
  <si>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</si>
  <si>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</si>
  <si>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</si>
  <si>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</si>
  <si>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</si>
  <si>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</si>
  <si>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</si>
  <si>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</si>
  <si>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</si>
  <si>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</si>
  <si>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</si>
  <si>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</si>
  <si>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</si>
  <si>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</si>
  <si>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</si>
  <si>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</si>
  <si>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</si>
  <si>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</si>
  <si>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</si>
  <si>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</si>
  <si>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</si>
  <si>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</si>
  <si>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</si>
  <si>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</si>
  <si>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</si>
  <si>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</si>
  <si>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</si>
  <si>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</si>
  <si>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</si>
  <si>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</si>
  <si>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</si>
  <si>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</si>
  <si>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</si>
  <si>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</si>
  <si>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</si>
  <si>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</si>
  <si>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</si>
  <si>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</si>
  <si>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</si>
  <si>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</si>
  <si>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</si>
  <si>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</si>
  <si>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</si>
  <si>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</si>
  <si>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</si>
  <si>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</si>
  <si>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</si>
  <si>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</si>
  <si>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</si>
  <si>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</si>
  <si>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</si>
  <si>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</si>
  <si>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</si>
  <si>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</si>
  <si>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</si>
  <si>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</si>
  <si>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</si>
  <si>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</si>
  <si>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</si>
  <si>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</si>
  <si>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</si>
  <si>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</si>
  <si>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</si>
  <si>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</si>
  <si>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</si>
  <si>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</si>
  <si>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</si>
  <si>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</si>
  <si>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</si>
  <si>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</si>
  <si>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</si>
  <si>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</si>
  <si>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</si>
  <si>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</si>
  <si>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</si>
  <si>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</si>
  <si>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</si>
  <si>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</si>
  <si>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</si>
  <si>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</si>
  <si>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</si>
  <si>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</si>
  <si>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</si>
  <si>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</si>
  <si>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</si>
  <si>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</si>
  <si>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</si>
  <si>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</si>
  <si>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</si>
  <si>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</si>
  <si>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</si>
  <si>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</si>
  <si>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</si>
  <si>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</si>
  <si>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</si>
  <si>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</si>
  <si>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</si>
  <si>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</si>
  <si>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</si>
  <si>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</si>
  <si>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</si>
  <si>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</si>
  <si>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</si>
  <si>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</si>
  <si>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</si>
  <si>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</si>
  <si>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</si>
  <si>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</si>
  <si>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</si>
  <si>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</si>
  <si>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</si>
  <si>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</si>
  <si>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</si>
  <si>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</si>
  <si>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</si>
  <si>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</si>
  <si>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</si>
  <si>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</si>
  <si>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</si>
  <si>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</si>
  <si>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</si>
  <si>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</si>
  <si>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</si>
  <si>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</si>
  <si>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</si>
  <si>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</si>
  <si>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</si>
  <si>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</si>
  <si>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</si>
  <si>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</si>
  <si>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</si>
  <si>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</si>
  <si>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</si>
  <si>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</si>
  <si>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</si>
  <si>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</si>
  <si>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</si>
  <si>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</si>
  <si>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</si>
  <si>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</si>
  <si>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</si>
  <si>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</si>
  <si>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</si>
  <si>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</si>
  <si>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</si>
  <si>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</si>
  <si>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</si>
  <si>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</si>
  <si>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</si>
  <si>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</si>
  <si>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</si>
  <si>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</si>
  <si>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</si>
  <si>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</si>
  <si>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</si>
  <si>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</si>
  <si>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</si>
  <si>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</si>
  <si>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</si>
  <si>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</si>
  <si>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</si>
  <si>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</si>
  <si>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</si>
  <si>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</si>
  <si>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一致</t>
  </si>
  <si>
    <t>符合</t>
  </si>
  <si>
    <t>出让</t>
  </si>
  <si>
    <t>商业</t>
  </si>
  <si>
    <t>住宅</t>
    <phoneticPr fontId="3" type="noConversion"/>
  </si>
  <si>
    <t>商业</t>
    <phoneticPr fontId="3" type="noConversion"/>
  </si>
  <si>
    <t>办公</t>
    <phoneticPr fontId="3" type="noConversion"/>
  </si>
  <si>
    <t>地上</t>
  </si>
  <si>
    <t>平层住宅</t>
  </si>
  <si>
    <t>独立商业</t>
  </si>
  <si>
    <t>办公楼</t>
  </si>
  <si>
    <t>四级</t>
    <phoneticPr fontId="3" type="noConversion"/>
  </si>
  <si>
    <t>项目全部</t>
  </si>
  <si>
    <t>土地</t>
  </si>
  <si>
    <t>土地（套用方法）</t>
  </si>
  <si>
    <t>售价</t>
  </si>
  <si>
    <t>比较法-住宅、综合</t>
  </si>
  <si>
    <t>剩余法-待开发</t>
  </si>
  <si>
    <t>吴中区木渎镇花苑东路西侧、长石路西侧</t>
    <phoneticPr fontId="3" type="noConversion"/>
  </si>
  <si>
    <t>正常</t>
    <phoneticPr fontId="26" type="noConversion"/>
  </si>
  <si>
    <t>住宅</t>
    <phoneticPr fontId="26" type="noConversion"/>
  </si>
  <si>
    <t>住宅</t>
    <phoneticPr fontId="26" type="noConversion"/>
  </si>
  <si>
    <t>70</t>
    <phoneticPr fontId="26" type="noConversion"/>
  </si>
  <si>
    <t>一般</t>
  </si>
  <si>
    <t>较好</t>
  </si>
  <si>
    <t>六通</t>
    <phoneticPr fontId="26" type="noConversion"/>
  </si>
  <si>
    <t>双面临街</t>
  </si>
  <si>
    <t>城市支路</t>
    <phoneticPr fontId="26" type="noConversion"/>
  </si>
  <si>
    <t>四级</t>
    <phoneticPr fontId="26" type="noConversion"/>
  </si>
  <si>
    <t>较规整</t>
    <phoneticPr fontId="26" type="noConversion"/>
  </si>
  <si>
    <t>较好</t>
    <phoneticPr fontId="26" type="noConversion"/>
  </si>
  <si>
    <t>六通</t>
    <phoneticPr fontId="26" type="noConversion"/>
  </si>
  <si>
    <t>楼面地价</t>
  </si>
  <si>
    <t>吴中区木渎镇竹园路北侧、金枫路西侧</t>
    <phoneticPr fontId="3" type="noConversion"/>
  </si>
  <si>
    <t>吴中区木渎镇金长路北侧、金枫路东侧</t>
    <phoneticPr fontId="3" type="noConversion"/>
  </si>
  <si>
    <t>住宅</t>
    <phoneticPr fontId="21" type="noConversion"/>
  </si>
  <si>
    <t>60-70（含）</t>
  </si>
  <si>
    <t>高层</t>
    <phoneticPr fontId="21" type="noConversion"/>
  </si>
  <si>
    <t>钢混</t>
  </si>
  <si>
    <t>钢混</t>
    <phoneticPr fontId="21" type="noConversion"/>
  </si>
  <si>
    <t>高档</t>
    <phoneticPr fontId="21" type="noConversion"/>
  </si>
  <si>
    <t>精装</t>
    <phoneticPr fontId="21" type="noConversion"/>
  </si>
  <si>
    <t>专业</t>
    <phoneticPr fontId="21" type="noConversion"/>
  </si>
  <si>
    <t>六通</t>
    <phoneticPr fontId="21" type="noConversion"/>
  </si>
  <si>
    <t>精装修</t>
    <phoneticPr fontId="21" type="noConversion"/>
  </si>
  <si>
    <t>较好</t>
    <phoneticPr fontId="21" type="noConversion"/>
  </si>
  <si>
    <t>仁恒棠悦湾</t>
    <phoneticPr fontId="3" type="noConversion"/>
  </si>
  <si>
    <t>招商学府1872</t>
    <phoneticPr fontId="3" type="noConversion"/>
  </si>
  <si>
    <t>竹园路与塔园路交叉口</t>
    <phoneticPr fontId="3" type="noConversion"/>
  </si>
  <si>
    <t>滨河路与横山路交汇处</t>
    <phoneticPr fontId="3" type="noConversion"/>
  </si>
  <si>
    <t>竹园路塔园路交汇处</t>
    <phoneticPr fontId="3" type="noConversion"/>
  </si>
  <si>
    <t>天房心著华庭</t>
    <phoneticPr fontId="3" type="noConversion"/>
  </si>
  <si>
    <t>不动产收益法</t>
  </si>
  <si>
    <t>押一</t>
  </si>
  <si>
    <t>高新广场</t>
    <phoneticPr fontId="3" type="noConversion"/>
  </si>
  <si>
    <t>新区狮山路28号(金狮大厦东)</t>
    <phoneticPr fontId="3" type="noConversion"/>
  </si>
  <si>
    <t>正常</t>
    <phoneticPr fontId="27" type="noConversion"/>
  </si>
  <si>
    <t>商业</t>
    <phoneticPr fontId="27" type="noConversion"/>
  </si>
  <si>
    <t>30-40（含）</t>
  </si>
  <si>
    <t>较好</t>
    <phoneticPr fontId="27" type="noConversion"/>
  </si>
  <si>
    <t>一般</t>
    <phoneticPr fontId="27" type="noConversion"/>
  </si>
  <si>
    <t>六通</t>
    <phoneticPr fontId="27" type="noConversion"/>
  </si>
  <si>
    <t>城市支路</t>
    <phoneticPr fontId="27" type="noConversion"/>
  </si>
  <si>
    <t>城市快速路</t>
    <phoneticPr fontId="27" type="noConversion"/>
  </si>
  <si>
    <t>高层</t>
    <phoneticPr fontId="27" type="noConversion"/>
  </si>
  <si>
    <t>钢混</t>
    <phoneticPr fontId="27" type="noConversion"/>
  </si>
  <si>
    <t>精装</t>
    <phoneticPr fontId="27" type="noConversion"/>
  </si>
  <si>
    <t>甲级</t>
    <phoneticPr fontId="27" type="noConversion"/>
  </si>
  <si>
    <t>专业</t>
    <phoneticPr fontId="27" type="noConversion"/>
  </si>
  <si>
    <t>标准</t>
    <phoneticPr fontId="27" type="noConversion"/>
  </si>
  <si>
    <t>毛坯</t>
    <phoneticPr fontId="27" type="noConversion"/>
  </si>
  <si>
    <r>
      <t>1.</t>
    </r>
    <r>
      <rPr>
        <sz val="10"/>
        <color indexed="8"/>
        <rFont val="宋体"/>
        <family val="3"/>
        <charset val="134"/>
      </rPr>
      <t>面积修正（非经营用途）</t>
    </r>
    <phoneticPr fontId="9" type="noConversion"/>
  </si>
  <si>
    <t>成交均价</t>
    <phoneticPr fontId="9" type="noConversion"/>
  </si>
  <si>
    <r>
      <t>3.</t>
    </r>
    <r>
      <rPr>
        <sz val="10"/>
        <color indexed="8"/>
        <rFont val="宋体"/>
        <family val="3"/>
        <charset val="134"/>
      </rPr>
      <t>估价对象市场指导价多少？不宜超过</t>
    </r>
    <phoneticPr fontId="9" type="noConversion"/>
  </si>
  <si>
    <r>
      <t>2.</t>
    </r>
    <r>
      <rPr>
        <sz val="10"/>
        <color indexed="8"/>
        <rFont val="宋体"/>
        <family val="3"/>
        <charset val="134"/>
      </rPr>
      <t>土地比较容积率修正不足、办公容积率修正反了</t>
    </r>
    <phoneticPr fontId="9" type="noConversion"/>
  </si>
  <si>
    <t>参考国贸、金融街，容积率越高写字楼品质越高价格越贵</t>
    <phoneticPr fontId="27" type="noConversion"/>
  </si>
  <si>
    <r>
      <rPr>
        <sz val="10"/>
        <color indexed="8"/>
        <rFont val="宋体"/>
        <family val="3"/>
        <charset val="134"/>
      </rPr>
      <t>住宅售价</t>
    </r>
    <r>
      <rPr>
        <sz val="10"/>
        <color indexed="8"/>
        <rFont val="Arial"/>
        <family val="2"/>
      </rPr>
      <t>/</t>
    </r>
    <r>
      <rPr>
        <sz val="10"/>
        <color indexed="8"/>
        <rFont val="宋体"/>
        <family val="3"/>
        <charset val="134"/>
      </rPr>
      <t>成本更高</t>
    </r>
    <phoneticPr fontId="3" type="noConversion"/>
  </si>
  <si>
    <r>
      <rPr>
        <sz val="10"/>
        <color indexed="8"/>
        <rFont val="宋体"/>
        <family val="3"/>
        <charset val="134"/>
      </rPr>
      <t>地块</t>
    </r>
    <r>
      <rPr>
        <sz val="10"/>
        <color indexed="8"/>
        <rFont val="Arial"/>
        <family val="2"/>
      </rPr>
      <t>1</t>
    </r>
    <phoneticPr fontId="9" type="noConversion"/>
  </si>
  <si>
    <r>
      <rPr>
        <sz val="10"/>
        <color indexed="8"/>
        <rFont val="宋体"/>
        <family val="3"/>
        <charset val="134"/>
      </rPr>
      <t>地块</t>
    </r>
    <r>
      <rPr>
        <sz val="10"/>
        <color indexed="8"/>
        <rFont val="Arial"/>
        <family val="2"/>
      </rPr>
      <t>2</t>
    </r>
    <phoneticPr fontId="9" type="noConversion"/>
  </si>
  <si>
    <r>
      <rPr>
        <sz val="10"/>
        <color indexed="8"/>
        <rFont val="宋体"/>
        <family val="3"/>
        <charset val="134"/>
      </rPr>
      <t>地块</t>
    </r>
    <r>
      <rPr>
        <sz val="10"/>
        <color indexed="8"/>
        <rFont val="Arial"/>
        <family val="2"/>
      </rPr>
      <t>3</t>
    </r>
    <phoneticPr fontId="9" type="noConversion"/>
  </si>
  <si>
    <t>合计</t>
    <phoneticPr fontId="9" type="noConversion"/>
  </si>
  <si>
    <t>总价</t>
    <phoneticPr fontId="9" type="noConversion"/>
  </si>
  <si>
    <t>指导价</t>
    <phoneticPr fontId="9" type="noConversion"/>
  </si>
  <si>
    <t>企业拿地价</t>
    <phoneticPr fontId="9" type="noConversion"/>
  </si>
  <si>
    <t>评估均价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</si>
</sst>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indexed="8"/>
      <name val="Arial"/>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1" fillId="2" borderId="12" xfId="0" applyFont="1" applyFill="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205" fillId="6" borderId="11" xfId="0" applyFont="1" applyFill="1" applyBorder="1" applyAlignment="1" applyProtection="1">
      <alignment vertical="center"/>
      <protection locked="0"/>
    </xf>
    <xf numFmtId="0" fontId="144" fillId="2" borderId="18"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0" fontId="82" fillId="0" borderId="0" xfId="0" applyFont="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protection locked="0"/>
    </xf>
    <xf numFmtId="0" fontId="144" fillId="9" borderId="0" xfId="0" applyFont="1" applyFill="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85" fillId="9" borderId="21" xfId="0" applyFont="1" applyFill="1" applyBorder="1" applyAlignment="1" applyProtection="1">
      <alignment horizontal="center" vertical="center"/>
    </xf>
    <xf numFmtId="181" fontId="71" fillId="9" borderId="12" xfId="0"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0" fontId="278" fillId="5" borderId="0" xfId="0" applyFont="1" applyFill="1" applyAlignment="1" applyProtection="1">
      <alignment vertical="center"/>
      <protection locked="0"/>
    </xf>
    <xf numFmtId="0" fontId="82" fillId="0" borderId="19" xfId="0"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85" fillId="0" borderId="19" xfId="0" applyFont="1" applyFill="1" applyBorder="1" applyAlignment="1" applyProtection="1">
      <alignment horizontal="center" vertical="center" wrapText="1"/>
      <protection locked="0"/>
    </xf>
    <xf numFmtId="1" fontId="85" fillId="0" borderId="19" xfId="0" applyNumberFormat="1" applyFont="1" applyFill="1" applyBorder="1" applyAlignment="1" applyProtection="1">
      <alignment horizontal="center" vertical="center"/>
      <protection locked="0"/>
    </xf>
    <xf numFmtId="1" fontId="85" fillId="0" borderId="20" xfId="0" applyNumberFormat="1" applyFont="1" applyBorder="1" applyProtection="1">
      <alignment vertical="center"/>
      <protection locked="0"/>
    </xf>
    <xf numFmtId="0" fontId="85" fillId="0" borderId="0" xfId="0" applyFont="1" applyFill="1" applyBorder="1" applyAlignment="1" applyProtection="1">
      <alignment horizontal="center" vertical="center"/>
      <protection locked="0"/>
    </xf>
    <xf numFmtId="0" fontId="85" fillId="0" borderId="18" xfId="0" applyFont="1" applyBorder="1" applyProtection="1">
      <alignment vertical="center"/>
      <protection locked="0"/>
    </xf>
    <xf numFmtId="0" fontId="263" fillId="5" borderId="10" xfId="14"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2&#20462;&#274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22359;3&#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公寓）"/>
      <sheetName val="不动产收益法（商业)"/>
      <sheetName val="不动产收益法（办公)"/>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36257.9</v>
          </cell>
          <cell r="E3">
            <v>171823.41</v>
          </cell>
        </row>
      </sheetData>
      <sheetData sheetId="13"/>
      <sheetData sheetId="14"/>
      <sheetData sheetId="15"/>
      <sheetData sheetId="16">
        <row r="19">
          <cell r="G19">
            <v>79198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比较法-办公"/>
      <sheetName val="不动产收益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62872</v>
          </cell>
          <cell r="E3">
            <v>184794.83</v>
          </cell>
        </row>
      </sheetData>
      <sheetData sheetId="13"/>
      <sheetData sheetId="14"/>
      <sheetData sheetId="15"/>
      <sheetData sheetId="16">
        <row r="19">
          <cell r="G19">
            <v>400308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2665</v>
      </c>
      <c r="B1" s="2915" t="s">
        <v>2762</v>
      </c>
    </row>
    <row r="2" spans="1:55" s="2919" customFormat="1" ht="15" thickTop="1">
      <c r="A2" s="2917" t="s">
        <v>2669</v>
      </c>
      <c r="B2" s="2918" t="str">
        <f>'预评函-封皮'!B37</f>
        <v>出让国有建设用地使用权预评估</v>
      </c>
      <c r="AX2" s="2920"/>
      <c r="AZ2" s="2920"/>
      <c r="BA2" s="2921"/>
      <c r="BC2" s="2921"/>
    </row>
    <row r="3" spans="1:55" s="2922" customFormat="1">
      <c r="A3" s="2901" t="s">
        <v>2670</v>
      </c>
      <c r="B3" s="2904">
        <f>'预评函-封皮'!B40</f>
        <v>0</v>
      </c>
    </row>
    <row r="4" spans="1:55" s="2903" customFormat="1">
      <c r="A4" s="2901" t="s">
        <v>2671</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2672</v>
      </c>
      <c r="B5" s="2924" t="str">
        <f>'预评函-封皮'!B49</f>
        <v>康正预评字号</v>
      </c>
    </row>
    <row r="6" spans="1:55" s="2925" customFormat="1" ht="15" thickTop="1">
      <c r="A6" s="2917" t="s">
        <v>2714</v>
      </c>
      <c r="B6" s="2918" t="str">
        <f>'预评函-1'!A4</f>
        <v>受贵公司委托，我公司对出让国有建设用地使用权进行了预评估。</v>
      </c>
      <c r="AM6" s="2926"/>
    </row>
    <row r="7" spans="1:55" s="2900" customFormat="1">
      <c r="A7" s="2901" t="s">
        <v>2666</v>
      </c>
      <c r="B7" s="2902" t="str">
        <f>'预评函-1'!A6</f>
        <v>估价对象为使用的、位于出让国有建设用地使用权。根据《国有土地使用证》[]，估价对象（分摊）出让国有建设用地使用权面积为37378.1平方米。根据《建设工程规划许可证》[]、《出让合同》[]，估价对象规划建筑面积为136430.07平方米。</v>
      </c>
    </row>
    <row r="8" spans="1:55" s="2900" customFormat="1">
      <c r="A8" s="2901" t="s">
        <v>2667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2717</v>
      </c>
      <c r="B9" s="290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2668</v>
      </c>
      <c r="B10" s="2902" t="str">
        <f>'预评函-1'!A11</f>
        <v>2018年1月23日（评估专业人员勘察现场之日）</v>
      </c>
    </row>
    <row r="11" spans="1:55" s="2900" customFormat="1">
      <c r="A11" s="2901" t="s">
        <v>2674</v>
      </c>
      <c r="B11" s="2902" t="str">
        <f>'预评函-1'!A14</f>
        <v>根据《国有土地使用证》[]，本次评估估价对象证载（地类）用途为。</v>
      </c>
    </row>
    <row r="12" spans="1:55" s="2900" customFormat="1">
      <c r="A12" s="2901" t="s">
        <v>2675</v>
      </c>
      <c r="B12" s="2902" t="str">
        <f>'预评函-1'!A15</f>
        <v>本次评估设定用途即为证载用途。</v>
      </c>
    </row>
    <row r="13" spans="1:55" s="2900" customFormat="1">
      <c r="A13" s="2901" t="s">
        <v>2676</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2677</v>
      </c>
      <c r="B14" s="2902" t="str">
        <f>'预评函-1'!A18</f>
        <v>。本次评估设定土地开发程度为红线外市政基础设施达“七通”、宗地红线内场地平整。</v>
      </c>
    </row>
    <row r="15" spans="1:55" s="2900" customFormat="1">
      <c r="A15" s="2901" t="s">
        <v>2673</v>
      </c>
      <c r="B15" s="2902" t="str">
        <f>'预评函-1'!A20</f>
        <v>根据《国有土地使用证》[]，估价对象（分摊）出让国有建设用地使用权面积为37378.1平方米。根据《建设工程规划许可证》[]、《出让合同》[]，估价对象规划建筑面积为136430.07平方米。</v>
      </c>
    </row>
    <row r="16" spans="1:55" s="2900" customFormat="1">
      <c r="A16" s="2901" t="s">
        <v>2678</v>
      </c>
      <c r="B16" s="2902" t="str">
        <f>'预评函-1'!A22</f>
        <v>本次估价对象为出让国有建设用地使用权，《国有土地使用证》[]证载土地终止日期为住宅2087年11月15日、商业2057年11月15日。截至估价期日，出让国有建设用地使用权剩余土地使用年限为。</v>
      </c>
    </row>
    <row r="17" spans="1:48" s="2900" customFormat="1">
      <c r="A17" s="2901" t="s">
        <v>2679</v>
      </c>
      <c r="B17" s="2902" t="str">
        <f>'预评函-1'!A23</f>
        <v>本次评估设定估价对象剩余土地使用年限为。</v>
      </c>
    </row>
    <row r="18" spans="1:48" s="2900" customFormat="1">
      <c r="A18" s="2901" t="s">
        <v>2680</v>
      </c>
      <c r="B18" s="2902" t="str">
        <f>'预评函-1'!A25</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19" spans="1:48" s="2900" customFormat="1">
      <c r="A19" s="2901" t="s">
        <v>2681</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2683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2685</v>
      </c>
      <c r="B23" s="2902" t="str">
        <f>'预评函-2'!K2</f>
        <v>估价期日：2018年1月23日</v>
      </c>
    </row>
    <row r="24" spans="1:48">
      <c r="A24" s="2901" t="s">
        <v>2686</v>
      </c>
      <c r="B24" s="2902" t="str">
        <f>'预评函-2'!R2</f>
        <v>估价期日的国有建设用地使用权性质：出让</v>
      </c>
    </row>
    <row r="25" spans="1:48">
      <c r="A25" s="2901" t="s">
        <v>2742</v>
      </c>
      <c r="B25" s="2902" t="str">
        <f>'预评函-2'!A3</f>
        <v>估价期日土地使用者</v>
      </c>
    </row>
    <row r="26" spans="1:48">
      <c r="A26" s="2901" t="s">
        <v>2718</v>
      </c>
      <c r="B26" s="2902" t="str">
        <f>'预评函-2'!A5</f>
        <v>中信开发</v>
      </c>
    </row>
    <row r="27" spans="1:48">
      <c r="A27" s="2901" t="s">
        <v>2743</v>
      </c>
      <c r="B27" s="2902" t="str">
        <f>'预评函-2'!B3</f>
        <v>宗地编号/不动产单元号</v>
      </c>
    </row>
    <row r="28" spans="1:48">
      <c r="A28" s="2901" t="s">
        <v>2719</v>
      </c>
      <c r="B28" s="2902" t="str">
        <f>'预评函-2'!B5</f>
        <v>11111111111</v>
      </c>
    </row>
    <row r="29" spans="1:48">
      <c r="A29" s="2901" t="s">
        <v>2745</v>
      </c>
      <c r="B29" s="2902">
        <f>'预评函-2'!C5</f>
        <v>22</v>
      </c>
    </row>
    <row r="30" spans="1:48">
      <c r="A30" s="2901" t="s">
        <v>2746</v>
      </c>
      <c r="B30" s="2902" t="str">
        <f>'预评函-2'!D3</f>
        <v>土地使用证编号/不动产权证书编号</v>
      </c>
    </row>
    <row r="31" spans="1:48">
      <c r="A31" s="2901" t="s">
        <v>2720</v>
      </c>
      <c r="B31" s="2902" t="str">
        <f>'预评函-2'!D5</f>
        <v>京国土字第111号</v>
      </c>
    </row>
    <row r="32" spans="1:48">
      <c r="A32" s="2901" t="s">
        <v>2721</v>
      </c>
      <c r="B32" s="2902">
        <f>'预评函-2'!E5</f>
        <v>0</v>
      </c>
      <c r="AV32" s="2906"/>
    </row>
    <row r="33" spans="1:2">
      <c r="A33" s="2901" t="s">
        <v>2722</v>
      </c>
      <c r="B33" s="2902">
        <f>'预评函-2'!F5</f>
        <v>258</v>
      </c>
    </row>
    <row r="34" spans="1:2">
      <c r="A34" s="2901" t="s">
        <v>2723</v>
      </c>
      <c r="B34" s="2902">
        <f>'预评函-2'!G5</f>
        <v>0</v>
      </c>
    </row>
    <row r="35" spans="1:2">
      <c r="A35" s="2901" t="s">
        <v>2724</v>
      </c>
      <c r="B35" s="2902">
        <f>'预评函-2'!H5</f>
        <v>1.5</v>
      </c>
    </row>
    <row r="36" spans="1:2">
      <c r="A36" s="2901" t="s">
        <v>2725</v>
      </c>
      <c r="B36" s="2902">
        <f>'预评函-2'!I5</f>
        <v>1.5</v>
      </c>
    </row>
    <row r="37" spans="1:2">
      <c r="A37" s="2901" t="s">
        <v>2726</v>
      </c>
      <c r="B37" s="2902">
        <f>'预评函-2'!J5</f>
        <v>1.5</v>
      </c>
    </row>
    <row r="38" spans="1:2">
      <c r="A38" s="2901" t="s">
        <v>2727</v>
      </c>
      <c r="B38" s="2902" t="str">
        <f>'预评函-2'!K5</f>
        <v>红线外七通、宗地红线内</v>
      </c>
    </row>
    <row r="39" spans="1:2">
      <c r="A39" s="2901" t="s">
        <v>2728</v>
      </c>
      <c r="B39" s="2902" t="str">
        <f>'预评函-2'!L5</f>
        <v>红线外七通、宗地红线内场地</v>
      </c>
    </row>
    <row r="40" spans="1:2">
      <c r="A40" s="2901" t="s">
        <v>2747</v>
      </c>
      <c r="B40" s="2902" t="str">
        <f>'预评函-2'!M3</f>
        <v>（剩余）土地使用年限/年</v>
      </c>
    </row>
    <row r="41" spans="1:2">
      <c r="A41" s="2901" t="s">
        <v>2729</v>
      </c>
      <c r="B41" s="2902">
        <f>'预评函-2'!M5</f>
        <v>0</v>
      </c>
    </row>
    <row r="42" spans="1:2">
      <c r="A42" s="2901" t="s">
        <v>2748</v>
      </c>
      <c r="B42" s="2902" t="str">
        <f>'预评函-2'!N3</f>
        <v>（分摊）出让国有建设用地使用权面积/㎡</v>
      </c>
    </row>
    <row r="43" spans="1:2">
      <c r="A43" s="2901" t="s">
        <v>2730</v>
      </c>
      <c r="B43" s="2902">
        <f>'预评函-2'!N5</f>
        <v>37378.1</v>
      </c>
    </row>
    <row r="44" spans="1:2">
      <c r="A44" s="2901" t="s">
        <v>2749</v>
      </c>
      <c r="B44" s="2902" t="str">
        <f>'预评函-2'!O3</f>
        <v>规划建筑面积/㎡</v>
      </c>
    </row>
    <row r="45" spans="1:2">
      <c r="A45" s="2901" t="s">
        <v>2731</v>
      </c>
      <c r="B45" s="2902">
        <f>'预评函-2'!O5</f>
        <v>136430.07</v>
      </c>
    </row>
    <row r="46" spans="1:2">
      <c r="A46" s="2901" t="s">
        <v>2732</v>
      </c>
      <c r="B46" s="2902">
        <f ca="1">'预评函-2'!P5</f>
        <v>72005</v>
      </c>
    </row>
    <row r="47" spans="1:2">
      <c r="A47" s="2901" t="s">
        <v>2733</v>
      </c>
      <c r="B47" s="2902">
        <f ca="1">'预评函-2'!Q5</f>
        <v>19727</v>
      </c>
    </row>
    <row r="48" spans="1:2">
      <c r="A48" s="2901" t="s">
        <v>2734</v>
      </c>
      <c r="B48" s="2902">
        <f ca="1">'预评函-2'!R5</f>
        <v>269141</v>
      </c>
    </row>
    <row r="49" spans="1:2">
      <c r="A49" s="2901" t="s">
        <v>2750</v>
      </c>
      <c r="B49" s="2902" t="str">
        <f>'预评函-2'!A6</f>
        <v>抵押价格</v>
      </c>
    </row>
    <row r="50" spans="1:2">
      <c r="A50" s="2901" t="s">
        <v>2735</v>
      </c>
      <c r="B50" s="2902" t="str">
        <f>'预评函-2'!R6</f>
        <v>——</v>
      </c>
    </row>
    <row r="51" spans="1:2">
      <c r="A51" s="2901" t="s">
        <v>2751</v>
      </c>
      <c r="B51" s="2902" t="str">
        <f>'预评函-2'!A7</f>
        <v>——</v>
      </c>
    </row>
    <row r="52" spans="1:2">
      <c r="A52" s="2901" t="s">
        <v>2736</v>
      </c>
      <c r="B52" s="2902" t="str">
        <f>'预评函-2'!R7</f>
        <v>——</v>
      </c>
    </row>
    <row r="53" spans="1:2">
      <c r="A53" s="2901" t="s">
        <v>2752</v>
      </c>
      <c r="B53" s="2902">
        <f>'预评函-2'!A8</f>
        <v>0</v>
      </c>
    </row>
    <row r="54" spans="1:2" s="2916" customFormat="1" ht="15" thickBot="1">
      <c r="A54" s="2923" t="s">
        <v>2737</v>
      </c>
      <c r="B54" s="2924" t="str">
        <f>'预评函-2'!R8</f>
        <v>——</v>
      </c>
    </row>
    <row r="55" spans="1:2" ht="15" thickTop="1">
      <c r="A55" s="2912" t="s">
        <v>2687</v>
      </c>
      <c r="B55" s="2913" t="str">
        <f>'预评函-3'!A2</f>
        <v>1.权利限制：根据估价对象《不动产权证书》原件、《国有土地使用权》复印件，截至估价期日，估价对象抵押权未见登记。未设定租赁等其他他项权利。</v>
      </c>
    </row>
    <row r="56" spans="1:2">
      <c r="A56" s="2901" t="s">
        <v>2688</v>
      </c>
      <c r="B56" s="2902" t="str">
        <f>'预评函-3'!A3</f>
        <v>2.基础设施条件：估价对象实际开发程度为红线外七通、宗地红线内；本次评估设定开发程度为红线外七通、宗地红线内场地。</v>
      </c>
    </row>
    <row r="57" spans="1:2">
      <c r="A57" s="2901" t="s">
        <v>2689</v>
      </c>
      <c r="B57" s="2902" t="str">
        <f>'预评函-3'!A4</f>
        <v>3.估价规划限制条件：详见《建设工程规划许可证》[]、《出让合同》[]。</v>
      </c>
    </row>
    <row r="58" spans="1:2" s="2916" customFormat="1" ht="15" thickBot="1">
      <c r="A58" s="2923" t="s">
        <v>2738</v>
      </c>
      <c r="B58" s="2924" t="str">
        <f>'预评函-3'!A5</f>
        <v>4.影响价格的其他限定条件：无。</v>
      </c>
    </row>
    <row r="59" spans="1:2" ht="15" thickTop="1">
      <c r="A59" s="2912" t="s">
        <v>2690</v>
      </c>
      <c r="B59" s="2913" t="str">
        <f>'预评函-3'!A8</f>
        <v>2.本《评估意见函》仅供金融机构进行内部审核使用，不做其他目的之用。</v>
      </c>
    </row>
    <row r="60" spans="1:2">
      <c r="A60" s="2901" t="s">
        <v>2691</v>
      </c>
      <c r="B60" s="2902" t="str">
        <f>'预评函-3'!A9</f>
        <v>3.抵押双方在办理抵押登记手续时，应使用本公司出具的正式《土地估价报告》，特提请报告使用者注意。</v>
      </c>
    </row>
    <row r="61" spans="1:2">
      <c r="A61" s="2901" t="s">
        <v>2693</v>
      </c>
      <c r="B61" s="2902" t="str">
        <f>'预评函-3'!A10</f>
        <v>4.估价师所知悉的法定优先受偿款情况为：</v>
      </c>
    </row>
    <row r="62" spans="1:2">
      <c r="A62" s="2901" t="s">
        <v>2692</v>
      </c>
      <c r="B62" s="290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1" t="s">
        <v>2694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2695</v>
      </c>
      <c r="B64" s="2907" t="str">
        <f>'预评函-3'!A13</f>
        <v>（3）。</v>
      </c>
    </row>
    <row r="65" spans="1:2">
      <c r="A65" s="2901" t="s">
        <v>2696</v>
      </c>
      <c r="B65" s="2908" t="str">
        <f>'预评函-3'!A14</f>
        <v>综上，本次评估不存在估价师知悉的法定优先受偿款</v>
      </c>
    </row>
    <row r="66" spans="1:2">
      <c r="A66" s="2901" t="s">
        <v>2697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2701</v>
      </c>
      <c r="B68" s="2927">
        <f>'预评函-3'!D30</f>
        <v>42558</v>
      </c>
    </row>
    <row r="69" spans="1:2" ht="15" thickTop="1">
      <c r="A69" s="2912" t="s">
        <v>2699</v>
      </c>
      <c r="B69" s="2913" t="str">
        <f>'预评函-3'!A20</f>
        <v>土地估价师</v>
      </c>
    </row>
    <row r="70" spans="1:2">
      <c r="A70" s="2901" t="s">
        <v>2699</v>
      </c>
      <c r="B70" s="2908">
        <f>'预评函-3'!B20</f>
        <v>0</v>
      </c>
    </row>
    <row r="71" spans="1:2">
      <c r="A71" s="2901" t="s">
        <v>2700</v>
      </c>
      <c r="B71" s="2902" t="str">
        <f>'预评函-3'!A21</f>
        <v>土地估价师</v>
      </c>
    </row>
    <row r="72" spans="1:2" s="2916" customFormat="1" ht="15" thickBot="1">
      <c r="A72" s="2923" t="s">
        <v>2700</v>
      </c>
      <c r="B72" s="2929">
        <f>'预评函-3'!B21</f>
        <v>0</v>
      </c>
    </row>
    <row r="73" spans="1:2" ht="15" thickTop="1">
      <c r="A73" s="2912" t="s">
        <v>2759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2760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2761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2796</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7" sqref="L7"/>
    </sheetView>
  </sheetViews>
  <sheetFormatPr defaultColWidth="10" defaultRowHeight="14.25"/>
  <cols>
    <col min="1" max="1" width="15.375" style="1687" customWidth="1"/>
    <col min="2" max="2" width="14.125" style="1687" customWidth="1"/>
    <col min="3" max="3" width="12.625" style="1687" customWidth="1"/>
    <col min="4" max="5" width="14.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233" t="str">
        <f>IF(B10="北京市","北京市",C10)&amp;F10&amp;B16&amp;"国有建设用地使用权"&amp;B9&amp;"预评估"</f>
        <v>出让国有建设用地使用权预评估</v>
      </c>
      <c r="C1" s="3234"/>
      <c r="D1" s="3234"/>
      <c r="E1" s="3234"/>
      <c r="F1" s="3234"/>
      <c r="G1" s="3234"/>
      <c r="H1" s="3234"/>
      <c r="I1" s="3235"/>
      <c r="J1" s="1690"/>
      <c r="K1" s="2476" t="str">
        <f>IF(B10="北京市","北京市",C10)&amp;F10&amp;B16&amp;"国有建设用地使用权"&amp;B9</f>
        <v>出让国有建设用地使用权</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出让国有建设用地使用权</v>
      </c>
      <c r="L2" s="1719"/>
      <c r="M2" s="1719"/>
      <c r="N2" s="1690"/>
      <c r="O2" s="1691"/>
      <c r="P2" s="1690"/>
      <c r="Q2" s="1690"/>
      <c r="R2" s="1690"/>
      <c r="S2" s="1690"/>
      <c r="T2" s="1690"/>
      <c r="U2" s="1690"/>
    </row>
    <row r="3" spans="1:21">
      <c r="A3" s="1657" t="s">
        <v>1943</v>
      </c>
      <c r="B3" s="1658">
        <v>43123</v>
      </c>
      <c r="C3" s="1659" t="s">
        <v>1999</v>
      </c>
      <c r="D3" s="1658">
        <v>43123</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2898</v>
      </c>
      <c r="C4" s="1842">
        <f>SUMIF(土地估价师,B4,估价师及机构信息!E3:E24)</f>
        <v>0</v>
      </c>
      <c r="D4" s="1839" t="s">
        <v>2898</v>
      </c>
      <c r="E4" s="1842">
        <f>SUMIF(土地估价师,D4,估价师及机构信息!E3:E24)</f>
        <v>0</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2715</v>
      </c>
      <c r="B6" s="1785"/>
      <c r="C6" s="1757"/>
      <c r="D6" s="1664"/>
      <c r="E6" s="1690"/>
      <c r="F6" s="1690"/>
      <c r="G6" s="1690"/>
      <c r="H6" s="1656"/>
      <c r="I6" s="1691"/>
      <c r="J6" s="1690"/>
      <c r="K6" s="3078" t="str">
        <f>IF(COUNTIF(B6,"*上海银行*"),"上海银行","")</f>
        <v/>
      </c>
      <c r="L6" s="1719"/>
      <c r="M6" s="1719"/>
      <c r="N6" s="1690"/>
      <c r="O6" s="1691"/>
      <c r="P6" s="1690"/>
      <c r="Q6" s="1690"/>
      <c r="R6" s="1690"/>
      <c r="S6" s="1690"/>
      <c r="T6" s="1690"/>
      <c r="U6" s="1690"/>
    </row>
    <row r="7" spans="1:21">
      <c r="A7" s="1665" t="s">
        <v>2716</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2984</v>
      </c>
      <c r="C8" s="1667"/>
      <c r="D8" s="3239" t="s">
        <v>1948</v>
      </c>
      <c r="E8" s="1840"/>
      <c r="F8" s="1668"/>
      <c r="G8" s="1656"/>
      <c r="H8" s="1656"/>
      <c r="I8" s="1703"/>
      <c r="J8" s="1690"/>
      <c r="K8" s="1770"/>
      <c r="L8" s="1719"/>
      <c r="M8" s="1719"/>
      <c r="N8" s="1690"/>
      <c r="O8" s="1691"/>
      <c r="P8" s="1690"/>
      <c r="Q8" s="1690"/>
      <c r="R8" s="1690"/>
      <c r="S8" s="1690"/>
      <c r="T8" s="1690"/>
      <c r="U8" s="1690"/>
    </row>
    <row r="9" spans="1:21" ht="15" thickBot="1">
      <c r="A9" s="1669" t="s">
        <v>1947</v>
      </c>
      <c r="B9" s="1670"/>
      <c r="C9" s="1671"/>
      <c r="D9" s="3240"/>
      <c r="E9" s="1670"/>
      <c r="F9" s="1743"/>
      <c r="G9" s="1738"/>
      <c r="H9" s="1738"/>
      <c r="I9" s="1739"/>
      <c r="J9" s="1690"/>
      <c r="K9" s="1770"/>
      <c r="L9" s="1719"/>
      <c r="M9" s="1719"/>
      <c r="N9" s="1690"/>
      <c r="O9" s="1691"/>
      <c r="P9" s="1690"/>
      <c r="Q9" s="1690"/>
      <c r="R9" s="1690"/>
      <c r="S9" s="1690"/>
      <c r="T9" s="1690"/>
      <c r="U9" s="1690"/>
    </row>
    <row r="10" spans="1:21" ht="15" thickTop="1">
      <c r="A10" s="1740" t="s">
        <v>2003</v>
      </c>
      <c r="B10" s="1715"/>
      <c r="C10" s="1672"/>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236"/>
      <c r="C12" s="3237"/>
      <c r="D12" s="3238"/>
      <c r="E12" s="1695" t="s">
        <v>2065</v>
      </c>
      <c r="F12" s="3254" t="s">
        <v>2899</v>
      </c>
      <c r="G12" s="3255"/>
      <c r="H12" s="3255"/>
      <c r="I12" s="3256"/>
      <c r="J12" s="1690"/>
      <c r="K12" s="1770"/>
      <c r="L12" s="1719"/>
      <c r="M12" s="1719"/>
      <c r="N12" s="1690"/>
      <c r="O12" s="1691"/>
      <c r="P12" s="1690"/>
      <c r="Q12" s="1690"/>
      <c r="R12" s="1690"/>
      <c r="S12" s="1690"/>
      <c r="T12" s="1690"/>
      <c r="U12" s="1690"/>
    </row>
    <row r="13" spans="1:21">
      <c r="A13" s="1683" t="s">
        <v>2063</v>
      </c>
      <c r="B13" s="3236"/>
      <c r="C13" s="3237"/>
      <c r="D13" s="3238"/>
      <c r="E13" s="1695" t="s">
        <v>2065</v>
      </c>
      <c r="F13" s="3254" t="s">
        <v>2900</v>
      </c>
      <c r="G13" s="3255"/>
      <c r="H13" s="3255"/>
      <c r="I13" s="3256"/>
      <c r="J13" s="1690"/>
      <c r="K13" s="1770"/>
      <c r="L13" s="1719"/>
      <c r="M13" s="1719"/>
      <c r="N13" s="1690"/>
      <c r="O13" s="1691"/>
      <c r="P13" s="1690"/>
      <c r="Q13" s="1690"/>
      <c r="R13" s="1690"/>
      <c r="S13" s="1690"/>
      <c r="T13" s="1690"/>
      <c r="U13" s="1690"/>
    </row>
    <row r="14" spans="1:21">
      <c r="A14" s="1657" t="s">
        <v>2066</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42.75">
      <c r="A16" s="1676" t="s">
        <v>1951</v>
      </c>
      <c r="B16" s="1677" t="s">
        <v>2987</v>
      </c>
      <c r="C16" s="1695" t="s">
        <v>1952</v>
      </c>
      <c r="D16" s="2668" t="s">
        <v>1953</v>
      </c>
      <c r="E16" s="1718" t="s">
        <v>2988</v>
      </c>
      <c r="F16" s="1718"/>
      <c r="G16" s="1718"/>
      <c r="H16" s="1718"/>
      <c r="I16" s="1682" t="s">
        <v>1958</v>
      </c>
      <c r="J16" s="1690"/>
      <c r="K16" s="2477" t="str">
        <f>IF(D17="","",D16&amp;TEXT(D17,"yyyy年m月d日;;"))</f>
        <v>住宅2087年11月15日</v>
      </c>
      <c r="L16" s="1695" t="str">
        <f>IF(OR(K16="",M16=""),"","、")</f>
        <v>、</v>
      </c>
      <c r="M16" s="2477" t="str">
        <f>IF(E17="","",E16&amp;TEXT(E17,"yyyy年m月d日;;"))</f>
        <v>商业2057年11月15日</v>
      </c>
      <c r="N16" s="1695" t="str">
        <f>IF(OR(M16="",O16=""),"","、")</f>
        <v/>
      </c>
      <c r="O16" s="2477" t="str">
        <f>IF(F17="","",F16&amp;TEXT(F17,"yyyy年m月d日;;"))</f>
        <v/>
      </c>
      <c r="P16" s="1695" t="str">
        <f>IF(OR(O16="",Q16=""),"","、")</f>
        <v/>
      </c>
      <c r="Q16" s="2477" t="str">
        <f>IF(G17="","",G16&amp;TEXT(G17,"yyyy年m月d日;;"))</f>
        <v/>
      </c>
      <c r="R16" s="1695" t="str">
        <f>IF(OR(Q16="",S16=""),"","、")</f>
        <v/>
      </c>
      <c r="S16" s="2477" t="str">
        <f>IF(H17="","",H16&amp;TEXT(H17,"yyyy年m月d日;;"))</f>
        <v/>
      </c>
      <c r="T16" s="1695" t="str">
        <f>IF(OR(S16="",U16=""),"","、")</f>
        <v/>
      </c>
      <c r="U16" s="2477" t="str">
        <f>IF(I17="","",I16&amp;TEXT(I17,"yyyy年m月d日;;"))</f>
        <v/>
      </c>
    </row>
    <row r="17" spans="1:21">
      <c r="A17" s="1759"/>
      <c r="B17" s="1678"/>
      <c r="C17" s="1679" t="s">
        <v>1959</v>
      </c>
      <c r="D17" s="1696">
        <v>68621</v>
      </c>
      <c r="E17" s="1696">
        <v>57664</v>
      </c>
      <c r="F17" s="1696"/>
      <c r="G17" s="1696"/>
      <c r="H17" s="1696"/>
      <c r="I17" s="1696"/>
      <c r="J17" s="1690"/>
      <c r="K17" s="2476" t="str">
        <f>CONCATENATE(K16,L16,M16,N16,O16,P16,Q16,R16,S16,T16,,U16)</f>
        <v>住宅2087年11月15日、商业2057年11月15日</v>
      </c>
      <c r="L17" s="1719"/>
      <c r="M17" s="1719"/>
      <c r="N17" s="1690"/>
      <c r="O17" s="1691"/>
      <c r="P17" s="1690"/>
      <c r="Q17" s="1690"/>
      <c r="R17" s="1690"/>
      <c r="S17" s="1690"/>
      <c r="T17" s="1690"/>
      <c r="U17" s="1690"/>
    </row>
    <row r="18" spans="1:21">
      <c r="A18" s="1759"/>
      <c r="B18" s="1678"/>
      <c r="C18" s="1679" t="s">
        <v>1960</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69.849999999999994</v>
      </c>
      <c r="E19" s="1681">
        <f>IF(B16="出让",IF(E17="","",ROUNDDOWN(MIN((E17-$D$3)/365,E18),2)),E18)</f>
        <v>39.83</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251"/>
      <c r="E20" s="3252"/>
      <c r="F20" s="3252"/>
      <c r="G20" s="3252"/>
      <c r="H20" s="3252"/>
      <c r="I20" s="3253"/>
      <c r="J20" s="1690"/>
      <c r="K20" s="1770"/>
      <c r="L20" s="1719"/>
      <c r="M20" s="1719"/>
      <c r="N20" s="1690"/>
      <c r="O20" s="1691"/>
      <c r="P20" s="1690"/>
      <c r="Q20" s="1690"/>
      <c r="R20" s="1690"/>
      <c r="S20" s="1690"/>
      <c r="T20" s="1690"/>
      <c r="U20" s="1690"/>
    </row>
    <row r="21" spans="1:21">
      <c r="A21" s="1759" t="s">
        <v>1962</v>
      </c>
      <c r="B21" s="1760" t="s">
        <v>1963</v>
      </c>
      <c r="C21" s="1755">
        <f>'数据-汇总表'!E3</f>
        <v>136430.07</v>
      </c>
      <c r="D21" s="1756" t="s">
        <v>1964</v>
      </c>
      <c r="E21" s="3241" t="s">
        <v>2002</v>
      </c>
      <c r="F21" s="3242"/>
      <c r="G21" s="3242"/>
      <c r="H21" s="3242"/>
      <c r="I21" s="3243"/>
      <c r="J21" s="1690"/>
      <c r="K21" s="1770"/>
      <c r="L21" s="1719"/>
      <c r="M21" s="1719"/>
      <c r="N21" s="1690"/>
      <c r="O21" s="1691"/>
      <c r="P21" s="1690"/>
      <c r="Q21" s="1690"/>
      <c r="R21" s="1690"/>
      <c r="S21" s="1690"/>
      <c r="T21" s="1690"/>
      <c r="U21" s="1690"/>
    </row>
    <row r="22" spans="1:21">
      <c r="A22" s="2659" t="s">
        <v>953</v>
      </c>
      <c r="B22" s="1657" t="s">
        <v>1965</v>
      </c>
      <c r="C22" s="1682">
        <f>'数据-汇总表'!D3</f>
        <v>37378.1</v>
      </c>
      <c r="D22" s="1683" t="s">
        <v>1964</v>
      </c>
      <c r="E22" s="3241" t="s">
        <v>2901</v>
      </c>
      <c r="F22" s="3242"/>
      <c r="G22" s="3242"/>
      <c r="H22" s="3242"/>
      <c r="I22" s="3243"/>
      <c r="J22" s="1690"/>
      <c r="K22" s="1770"/>
      <c r="L22" s="1719"/>
      <c r="M22" s="1719"/>
      <c r="N22" s="1690"/>
      <c r="O22" s="1691"/>
      <c r="P22" s="1690"/>
      <c r="Q22" s="1690"/>
      <c r="R22" s="1690"/>
      <c r="S22" s="1690"/>
      <c r="T22" s="1690"/>
      <c r="U22" s="1690"/>
    </row>
    <row r="23" spans="1:21" ht="29.25" thickBot="1">
      <c r="A23" s="1761" t="s">
        <v>1966</v>
      </c>
      <c r="B23" s="1697" t="s">
        <v>1967</v>
      </c>
      <c r="C23" s="1698"/>
      <c r="D23" s="1699" t="s">
        <v>1968</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244" t="s">
        <v>1970</v>
      </c>
      <c r="C24" s="3245"/>
      <c r="D24" s="3246" t="s">
        <v>1971</v>
      </c>
      <c r="E24" s="3247"/>
      <c r="F24" s="1704" t="s">
        <v>1972</v>
      </c>
      <c r="G24" s="1690"/>
      <c r="H24" s="1690"/>
      <c r="I24" s="1703"/>
      <c r="J24" s="1690"/>
      <c r="K24" s="3232"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232"/>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232"/>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259" t="s">
        <v>2005</v>
      </c>
      <c r="B31" s="1760" t="s">
        <v>2006</v>
      </c>
      <c r="C31" s="3257"/>
      <c r="D31" s="3258"/>
      <c r="E31" s="1690"/>
      <c r="F31" s="1690"/>
      <c r="G31" s="1690"/>
      <c r="H31" s="1690"/>
      <c r="I31" s="1703"/>
      <c r="J31" s="1690"/>
      <c r="K31" s="2479"/>
      <c r="L31" s="1690"/>
      <c r="M31" s="1690"/>
      <c r="N31" s="1690"/>
      <c r="O31" s="1690"/>
      <c r="P31" s="1690"/>
      <c r="Q31" s="1690"/>
      <c r="R31" s="1690"/>
      <c r="S31" s="1690"/>
      <c r="T31" s="1690"/>
      <c r="U31" s="1690"/>
    </row>
    <row r="32" spans="1:21">
      <c r="A32" s="3259"/>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259"/>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60"/>
      <c r="B34" s="1657" t="s">
        <v>2009</v>
      </c>
      <c r="C34" s="3261"/>
      <c r="D34" s="3262"/>
      <c r="E34" s="1690"/>
      <c r="F34" s="1690"/>
      <c r="G34" s="1690"/>
      <c r="H34" s="1690"/>
      <c r="I34" s="1703"/>
      <c r="J34" s="1690"/>
      <c r="K34" s="2479"/>
      <c r="L34" s="1690"/>
      <c r="M34" s="1690"/>
      <c r="N34" s="1690"/>
      <c r="O34" s="1690"/>
      <c r="P34" s="1690"/>
      <c r="Q34" s="1690"/>
      <c r="R34" s="1690"/>
      <c r="S34" s="1690"/>
      <c r="T34" s="1690"/>
      <c r="U34" s="1690"/>
    </row>
    <row r="35" spans="1:21">
      <c r="A35" s="3263" t="s">
        <v>848</v>
      </c>
      <c r="B35" s="1718"/>
      <c r="C35" s="1772" t="str">
        <f>IF(B35="场地平整","——","具体情况：")</f>
        <v>具体情况：</v>
      </c>
      <c r="D35" s="3265"/>
      <c r="E35" s="3266"/>
      <c r="F35" s="3266"/>
      <c r="G35" s="3266"/>
      <c r="H35" s="3266"/>
      <c r="I35" s="3267"/>
      <c r="J35" s="1690"/>
      <c r="K35" s="1771"/>
      <c r="L35" s="1719"/>
      <c r="M35" s="1719"/>
      <c r="N35" s="1690"/>
      <c r="O35" s="1691"/>
      <c r="P35" s="1690"/>
      <c r="Q35" s="1690"/>
      <c r="R35" s="1690"/>
      <c r="S35" s="1690"/>
      <c r="T35" s="1690"/>
      <c r="U35" s="1690"/>
    </row>
    <row r="36" spans="1:21">
      <c r="A36" s="3259"/>
      <c r="B36" s="3268" t="s">
        <v>2058</v>
      </c>
      <c r="C36" s="3269"/>
      <c r="D36" s="1788"/>
      <c r="E36" s="3270"/>
      <c r="F36" s="3270"/>
      <c r="G36" s="1683" t="str">
        <f>IF(B35="场地未平整","估价结果处理","")</f>
        <v/>
      </c>
      <c r="H36" s="3271"/>
      <c r="I36" s="3271"/>
      <c r="J36" s="1690"/>
      <c r="K36" s="1771"/>
      <c r="L36" s="1719"/>
      <c r="M36" s="1719"/>
      <c r="N36" s="1690"/>
      <c r="O36" s="1691"/>
      <c r="P36" s="1690"/>
      <c r="Q36" s="1690"/>
      <c r="R36" s="1690"/>
      <c r="S36" s="1690"/>
      <c r="T36" s="1690"/>
      <c r="U36" s="1690"/>
    </row>
    <row r="37" spans="1:21" ht="28.5">
      <c r="A37" s="3259"/>
      <c r="B37" s="3248"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259"/>
      <c r="B38" s="3249"/>
      <c r="C38" s="1665" t="s">
        <v>851</v>
      </c>
      <c r="D38" s="1787">
        <f>ROUNDDOWN(MIN(('数据-取费表'!$B$2-D37)/365,D34),1)</f>
        <v>118.1</v>
      </c>
      <c r="E38" s="1723" t="s">
        <v>852</v>
      </c>
      <c r="F38" s="1690"/>
      <c r="G38" s="1690"/>
      <c r="H38" s="1690"/>
      <c r="I38" s="1703"/>
      <c r="J38" s="1690"/>
      <c r="K38" s="1771"/>
      <c r="L38" s="1690"/>
      <c r="M38" s="1690"/>
      <c r="N38" s="1690"/>
      <c r="O38" s="1690"/>
      <c r="P38" s="1690"/>
      <c r="Q38" s="1690"/>
      <c r="R38" s="1690"/>
      <c r="S38" s="1690"/>
      <c r="T38" s="1690"/>
      <c r="U38" s="1690"/>
    </row>
    <row r="39" spans="1:21">
      <c r="A39" s="3260"/>
      <c r="B39" s="3250"/>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231" t="s">
        <v>1989</v>
      </c>
      <c r="T40" s="1727" t="str">
        <f>NUMBERSTRING(7-K40,1)&amp;"通"</f>
        <v>七通</v>
      </c>
      <c r="U40" s="1690"/>
    </row>
    <row r="41" spans="1:21">
      <c r="A41" s="1659"/>
      <c r="B41" s="3264" t="s">
        <v>1723</v>
      </c>
      <c r="C41" s="3264"/>
      <c r="D41" s="3264"/>
      <c r="E41" s="3264"/>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1"/>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5" customFormat="1" ht="21" thickBot="1">
      <c r="A45" s="3096" t="s">
        <v>2902</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2337</v>
      </c>
      <c r="BA2" s="2358"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37378.1</v>
      </c>
      <c r="B3" s="22">
        <f>IF(C3="否",G5-AT5,G5)</f>
        <v>136430.07</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136430.07</v>
      </c>
      <c r="H5" s="27">
        <f t="shared" ref="H5:AT5" si="0">SUM(H13:H641)</f>
        <v>135065.77000000002</v>
      </c>
      <c r="I5" s="27">
        <f t="shared" si="0"/>
        <v>103065.77</v>
      </c>
      <c r="J5" s="27">
        <f t="shared" si="0"/>
        <v>0</v>
      </c>
      <c r="K5" s="27">
        <f t="shared" si="0"/>
        <v>7000</v>
      </c>
      <c r="L5" s="27">
        <f t="shared" si="0"/>
        <v>0</v>
      </c>
      <c r="M5" s="27">
        <f t="shared" si="0"/>
        <v>25000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1364.3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1364.3</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136430.07</v>
      </c>
      <c r="BA5" s="29">
        <f t="shared" si="1"/>
        <v>135065.77000000002</v>
      </c>
      <c r="BB5" s="29">
        <f t="shared" si="1"/>
        <v>103065.77</v>
      </c>
      <c r="BC5" s="29">
        <f t="shared" si="1"/>
        <v>7000</v>
      </c>
      <c r="BD5" s="29">
        <f t="shared" si="1"/>
        <v>25000</v>
      </c>
      <c r="BE5" s="29">
        <f t="shared" si="1"/>
        <v>0</v>
      </c>
      <c r="BF5" s="29">
        <f t="shared" si="1"/>
        <v>0</v>
      </c>
      <c r="BG5" s="29">
        <f t="shared" si="1"/>
        <v>0</v>
      </c>
      <c r="BH5" s="29">
        <f t="shared" si="1"/>
        <v>0</v>
      </c>
      <c r="BI5" s="29">
        <f t="shared" si="1"/>
        <v>0</v>
      </c>
      <c r="BJ5" s="29">
        <f t="shared" si="1"/>
        <v>0</v>
      </c>
      <c r="BK5" s="29">
        <f t="shared" si="1"/>
        <v>0</v>
      </c>
      <c r="BL5" s="29">
        <f t="shared" si="1"/>
        <v>1364.3</v>
      </c>
      <c r="BM5" s="29">
        <f t="shared" si="1"/>
        <v>0</v>
      </c>
      <c r="BN5" s="29">
        <f t="shared" si="1"/>
        <v>0</v>
      </c>
      <c r="BO5" s="29">
        <f t="shared" si="1"/>
        <v>0</v>
      </c>
      <c r="BP5" s="29">
        <f t="shared" si="1"/>
        <v>0</v>
      </c>
      <c r="BQ5" s="29">
        <f t="shared" si="1"/>
        <v>1364.3</v>
      </c>
      <c r="BR5" s="29">
        <f t="shared" si="1"/>
        <v>0</v>
      </c>
      <c r="BS5" s="29">
        <f t="shared" si="1"/>
        <v>0</v>
      </c>
      <c r="BT5" s="30">
        <f t="shared" si="1"/>
        <v>0</v>
      </c>
    </row>
    <row r="6" spans="1:72" s="37" customFormat="1" ht="12.75">
      <c r="A6" s="26" t="s">
        <v>169</v>
      </c>
      <c r="B6" s="31"/>
      <c r="C6" s="31"/>
      <c r="D6" s="32"/>
      <c r="E6" s="27">
        <f>H6+AC6+AT6</f>
        <v>37378.1</v>
      </c>
      <c r="F6" s="27" t="s">
        <v>1</v>
      </c>
      <c r="G6" s="27" t="s">
        <v>2</v>
      </c>
      <c r="H6" s="33">
        <f>SUMIF(I$12:AB$12,"总值",I6:AB6)</f>
        <v>37004.32</v>
      </c>
      <c r="I6" s="27">
        <f t="shared" ref="I6:AB6" si="2">ROUND($A$3*I5/$B$3,2)</f>
        <v>28237.200000000001</v>
      </c>
      <c r="J6" s="27">
        <f t="shared" si="2"/>
        <v>0</v>
      </c>
      <c r="K6" s="27">
        <f t="shared" si="2"/>
        <v>1917.81</v>
      </c>
      <c r="L6" s="27">
        <f t="shared" si="2"/>
        <v>0</v>
      </c>
      <c r="M6" s="27">
        <f t="shared" si="2"/>
        <v>6849.31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373.78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373.78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37378.1</v>
      </c>
      <c r="AZ6" s="27" t="s">
        <v>3</v>
      </c>
      <c r="BA6" s="27">
        <f>ROUND($AY$6*BA5/$AZ$5,2)</f>
        <v>37004.32</v>
      </c>
      <c r="BB6" s="27">
        <f>ROUND($AY$6*BB5/$AZ$5,2)</f>
        <v>28237.200000000001</v>
      </c>
      <c r="BC6" s="27">
        <f t="shared" ref="BC6:BH6" si="4">ROUND($AY$6*BC5/$AZ$5,2)</f>
        <v>1917.81</v>
      </c>
      <c r="BD6" s="27">
        <f t="shared" si="4"/>
        <v>6849.31</v>
      </c>
      <c r="BE6" s="27">
        <f t="shared" si="4"/>
        <v>0</v>
      </c>
      <c r="BF6" s="27">
        <f t="shared" si="4"/>
        <v>0</v>
      </c>
      <c r="BG6" s="27">
        <f t="shared" si="4"/>
        <v>0</v>
      </c>
      <c r="BH6" s="27">
        <f t="shared" si="4"/>
        <v>0</v>
      </c>
      <c r="BI6" s="27">
        <f t="shared" ref="BI6:BT6" si="5">ROUND($AY$6*BI5/$AZ$5,2)</f>
        <v>0</v>
      </c>
      <c r="BJ6" s="27">
        <f t="shared" si="5"/>
        <v>0</v>
      </c>
      <c r="BK6" s="27">
        <f t="shared" si="5"/>
        <v>0</v>
      </c>
      <c r="BL6" s="27">
        <f t="shared" si="5"/>
        <v>373.78</v>
      </c>
      <c r="BM6" s="27">
        <f t="shared" si="5"/>
        <v>0</v>
      </c>
      <c r="BN6" s="27">
        <f t="shared" si="5"/>
        <v>0</v>
      </c>
      <c r="BO6" s="27">
        <f t="shared" si="5"/>
        <v>0</v>
      </c>
      <c r="BP6" s="27">
        <f t="shared" si="5"/>
        <v>0</v>
      </c>
      <c r="BQ6" s="27">
        <f t="shared" si="5"/>
        <v>373.78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1" t="s">
        <v>2992</v>
      </c>
      <c r="J9" s="51"/>
      <c r="K9" s="3041" t="s">
        <v>2992</v>
      </c>
      <c r="L9" s="51"/>
      <c r="M9" s="3041" t="s">
        <v>2992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1" t="s">
        <v>924</v>
      </c>
      <c r="J10" s="51"/>
      <c r="K10" s="3043" t="s">
        <v>2988</v>
      </c>
      <c r="L10" s="51"/>
      <c r="M10" s="3043" t="s">
        <v>2988</v>
      </c>
      <c r="N10" s="51"/>
      <c r="O10" s="66"/>
      <c r="P10" s="51"/>
      <c r="Q10" s="66"/>
      <c r="R10" s="51"/>
      <c r="S10" s="66"/>
      <c r="T10" s="51"/>
      <c r="U10" s="66"/>
      <c r="V10" s="51"/>
      <c r="W10" s="66"/>
      <c r="X10" s="51"/>
      <c r="Y10" s="66"/>
      <c r="Z10" s="51"/>
      <c r="AA10" s="66"/>
      <c r="AB10" s="51"/>
      <c r="AC10" s="55"/>
      <c r="AD10" s="2311" t="s">
        <v>2321</v>
      </c>
      <c r="AE10" s="2333"/>
      <c r="AF10" s="2311" t="s">
        <v>2321</v>
      </c>
      <c r="AG10" s="2333"/>
      <c r="AH10" s="2311" t="s">
        <v>2322</v>
      </c>
      <c r="AI10" s="2333"/>
      <c r="AJ10" s="26" t="s">
        <v>2335</v>
      </c>
      <c r="AK10" s="2330"/>
      <c r="AL10" s="2311" t="s">
        <v>2323</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2" t="s">
        <v>2993</v>
      </c>
      <c r="J11" s="71"/>
      <c r="K11" s="3042" t="s">
        <v>2994</v>
      </c>
      <c r="L11" s="71"/>
      <c r="M11" s="70" t="s">
        <v>2995</v>
      </c>
      <c r="N11" s="71"/>
      <c r="O11" s="70"/>
      <c r="P11" s="71"/>
      <c r="Q11" s="70"/>
      <c r="R11" s="71"/>
      <c r="S11" s="70"/>
      <c r="T11" s="71"/>
      <c r="U11" s="70"/>
      <c r="V11" s="71"/>
      <c r="W11" s="70"/>
      <c r="X11" s="71"/>
      <c r="Y11" s="70"/>
      <c r="Z11" s="71"/>
      <c r="AA11" s="70"/>
      <c r="AB11" s="71"/>
      <c r="AC11" s="55"/>
      <c r="AD11" s="2331" t="s">
        <v>2334</v>
      </c>
      <c r="AE11" s="998"/>
      <c r="AF11" s="2331" t="s">
        <v>2334</v>
      </c>
      <c r="AG11" s="998"/>
      <c r="AH11" s="2331" t="s">
        <v>2333</v>
      </c>
      <c r="AI11" s="2332"/>
      <c r="AJ11" s="2331" t="s">
        <v>2333</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t="str">
        <f>M11</f>
        <v>办公楼</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6"/>
      <c r="B13" s="3036"/>
      <c r="C13" s="3036" t="s">
        <v>2989</v>
      </c>
      <c r="D13" s="3037" t="s">
        <v>1680</v>
      </c>
      <c r="E13" s="27">
        <f t="shared" ref="E13:E20" si="6">IF($C$3="是",ROUND($A$3*G13/$B$3,2),ROUND($A$3*(G13-AT13)/$B$3,2))</f>
        <v>28610.98</v>
      </c>
      <c r="F13" s="81"/>
      <c r="G13" s="82">
        <f t="shared" ref="G13:G20" si="7">H13+AC13+AT13</f>
        <v>104430.07</v>
      </c>
      <c r="H13" s="33">
        <f t="shared" ref="H13:H20" si="8">SUMIF(I$12:AB$12,"总值",I13:AB13)</f>
        <v>103065.77</v>
      </c>
      <c r="I13" s="3040">
        <f>ROUND(A3*3.65-K14-M15-AC5,2)</f>
        <v>103065.77</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1364.3</v>
      </c>
      <c r="AD13" s="3044"/>
      <c r="AE13" s="3044"/>
      <c r="AF13" s="3044"/>
      <c r="AG13" s="3044"/>
      <c r="AH13" s="3044"/>
      <c r="AI13" s="3044"/>
      <c r="AJ13" s="3044"/>
      <c r="AK13" s="3044"/>
      <c r="AL13" s="3185">
        <f>ROUND(A3*3.65*(0.7%+0.3%),2)</f>
        <v>1364.3</v>
      </c>
      <c r="AM13" s="3044"/>
      <c r="AN13" s="3044"/>
      <c r="AO13" s="3044"/>
      <c r="AP13" s="3044"/>
      <c r="AQ13" s="3044"/>
      <c r="AR13" s="3044"/>
      <c r="AS13" s="3044"/>
      <c r="AT13" s="3045"/>
      <c r="AU13" s="3046"/>
      <c r="AV13" s="17">
        <f t="shared" ref="AV13:AX20" si="10">A13</f>
        <v>0</v>
      </c>
      <c r="AW13" s="17">
        <f t="shared" si="10"/>
        <v>0</v>
      </c>
      <c r="AX13" s="17" t="str">
        <f t="shared" si="10"/>
        <v>住宅</v>
      </c>
      <c r="AY13" s="992">
        <f t="shared" ref="AY13:AY20" si="11">ROUND($AY$6*AZ13/$AZ$5,2)</f>
        <v>28610.98</v>
      </c>
      <c r="AZ13" s="27">
        <f t="shared" ref="AZ13:AZ20" si="12">BA13+BL13</f>
        <v>104430.07</v>
      </c>
      <c r="BA13" s="27">
        <f t="shared" ref="BA13:BA20" si="13">SUM(BB13:BK13)</f>
        <v>103065.77</v>
      </c>
      <c r="BB13" s="27">
        <f t="shared" ref="BB13:BB20" si="14">IF($D13="是",I13-J13,0)</f>
        <v>103065.77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1364.3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1364.3</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2990</v>
      </c>
      <c r="D14" s="3037" t="s">
        <v>1680</v>
      </c>
      <c r="E14" s="27">
        <f t="shared" si="6"/>
        <v>1917.81</v>
      </c>
      <c r="F14" s="81"/>
      <c r="G14" s="82">
        <f t="shared" si="7"/>
        <v>7000</v>
      </c>
      <c r="H14" s="33">
        <f t="shared" si="8"/>
        <v>7000</v>
      </c>
      <c r="I14" s="3040"/>
      <c r="J14" s="3040"/>
      <c r="K14" s="3040">
        <v>7000</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2">
        <f t="shared" si="11"/>
        <v>1917.81</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2991</v>
      </c>
      <c r="D15" s="3037" t="s">
        <v>1680</v>
      </c>
      <c r="E15" s="27">
        <f t="shared" si="6"/>
        <v>6849.31</v>
      </c>
      <c r="F15" s="81"/>
      <c r="G15" s="82">
        <f t="shared" si="7"/>
        <v>25000</v>
      </c>
      <c r="H15" s="33">
        <f t="shared" si="8"/>
        <v>25000</v>
      </c>
      <c r="I15" s="3040"/>
      <c r="J15" s="3040"/>
      <c r="K15" s="3040"/>
      <c r="L15" s="3040"/>
      <c r="M15" s="3040">
        <v>25000</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办公</v>
      </c>
      <c r="AY15" s="992">
        <f t="shared" si="11"/>
        <v>6849.31</v>
      </c>
      <c r="AZ15" s="27">
        <f t="shared" si="12"/>
        <v>25000</v>
      </c>
      <c r="BA15" s="27">
        <f t="shared" si="13"/>
        <v>25000</v>
      </c>
      <c r="BB15" s="27">
        <f t="shared" si="14"/>
        <v>0</v>
      </c>
      <c r="BC15" s="27">
        <f t="shared" si="15"/>
        <v>0</v>
      </c>
      <c r="BD15" s="27">
        <f t="shared" si="16"/>
        <v>25000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80" zoomScaleNormal="80" zoomScaleSheetLayoutView="90" workbookViewId="0">
      <selection activeCell="F21" sqref="F2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3" t="s">
        <v>203</v>
      </c>
      <c r="B2" s="3283"/>
      <c r="C2" s="3283"/>
      <c r="D2" s="1972" t="s">
        <v>204</v>
      </c>
      <c r="E2" s="106" t="s">
        <v>205</v>
      </c>
      <c r="F2" s="1981"/>
      <c r="G2" s="1194"/>
      <c r="H2" s="1195"/>
      <c r="I2" s="1196" t="s">
        <v>858</v>
      </c>
      <c r="J2" s="1981"/>
      <c r="K2" s="1981"/>
      <c r="L2" s="1981"/>
    </row>
    <row r="3" spans="1:16" ht="15.75" thickBot="1">
      <c r="A3" s="3284" t="s">
        <v>206</v>
      </c>
      <c r="B3" s="3284"/>
      <c r="C3" s="3284"/>
      <c r="D3" s="107">
        <f>'数据-基础表'!AY6</f>
        <v>37378.1</v>
      </c>
      <c r="E3" s="107">
        <f>'数据-基础表'!AZ5</f>
        <v>136430.07</v>
      </c>
      <c r="F3" s="1981"/>
      <c r="G3" s="279" t="s">
        <v>859</v>
      </c>
      <c r="H3" s="274" t="s">
        <v>860</v>
      </c>
      <c r="I3" s="1973">
        <f>ROUND('数据-基础表'!B3/'数据-基础表'!A3,2)</f>
        <v>3.65</v>
      </c>
      <c r="J3" s="1981"/>
      <c r="K3" s="1981"/>
      <c r="L3" s="1981"/>
    </row>
    <row r="4" spans="1:16" ht="15">
      <c r="A4" s="3285"/>
      <c r="B4" s="3286"/>
      <c r="C4" s="3287"/>
      <c r="D4" s="108" t="s">
        <v>204</v>
      </c>
      <c r="E4" s="109" t="s">
        <v>205</v>
      </c>
      <c r="F4" s="1981"/>
      <c r="G4" s="1197"/>
      <c r="H4" s="274" t="s">
        <v>861</v>
      </c>
      <c r="I4" s="1973">
        <f>ROUND(SUMIF('数据-基础表'!I9:AS9,"地上",'数据-基础表'!I5:AS5)/'数据-基础表'!A3,2)</f>
        <v>3.65</v>
      </c>
      <c r="J4" s="1981"/>
      <c r="K4" s="1981"/>
      <c r="L4" s="1981"/>
    </row>
    <row r="5" spans="1:16">
      <c r="A5" s="110" t="s">
        <v>207</v>
      </c>
      <c r="B5" s="3288" t="s">
        <v>230</v>
      </c>
      <c r="C5" s="3288"/>
      <c r="D5" s="111">
        <f>ROUND($D$3*E5/$E$3,2)</f>
        <v>28237.200000000001</v>
      </c>
      <c r="E5" s="112">
        <f>SUMIF('数据-基础表'!$11:$11,"住宅",'数据-基础表'!$5:$5)</f>
        <v>103065.77</v>
      </c>
      <c r="F5" s="1981"/>
      <c r="G5" s="279" t="s">
        <v>862</v>
      </c>
      <c r="H5" s="274" t="s">
        <v>860</v>
      </c>
      <c r="I5" s="1973">
        <f>ROUND(E31/D31,2)</f>
        <v>3.65</v>
      </c>
      <c r="J5" s="1981"/>
      <c r="K5" s="1981"/>
      <c r="L5" s="1981"/>
    </row>
    <row r="6" spans="1:16" ht="15" thickBot="1">
      <c r="A6" s="113"/>
      <c r="B6" s="3288" t="s">
        <v>208</v>
      </c>
      <c r="C6" s="3288"/>
      <c r="D6" s="111">
        <f>ROUND($D$3*E6/$E$3,2)</f>
        <v>9140.9</v>
      </c>
      <c r="E6" s="112">
        <f>E3-E5</f>
        <v>33364.300000000003</v>
      </c>
      <c r="F6" s="1981"/>
      <c r="G6" s="1197"/>
      <c r="H6" s="274" t="s">
        <v>861</v>
      </c>
      <c r="I6" s="1973">
        <f>ROUND(F31/D31,2)</f>
        <v>3.65</v>
      </c>
      <c r="J6" s="1981"/>
      <c r="K6" s="1981"/>
      <c r="L6" s="1981"/>
    </row>
    <row r="7" spans="1:16" ht="15">
      <c r="A7" s="3280"/>
      <c r="B7" s="3281"/>
      <c r="C7" s="3282"/>
      <c r="D7" s="108" t="s">
        <v>204</v>
      </c>
      <c r="E7" s="114" t="s">
        <v>231</v>
      </c>
      <c r="F7" s="1981"/>
      <c r="G7" s="1152" t="s">
        <v>1647</v>
      </c>
      <c r="H7" s="1153"/>
      <c r="I7" s="1843">
        <f>I6</f>
        <v>3.65</v>
      </c>
      <c r="J7" s="1981"/>
      <c r="K7" s="1981"/>
      <c r="L7" s="1981"/>
    </row>
    <row r="8" spans="1:16">
      <c r="A8" s="110" t="s">
        <v>209</v>
      </c>
      <c r="B8" s="115" t="s">
        <v>210</v>
      </c>
      <c r="C8" s="111" t="s">
        <v>211</v>
      </c>
      <c r="D8" s="111">
        <f t="shared" ref="D8:D15" si="0">ROUND($D$3*E8/$E$3,2)</f>
        <v>37004.32</v>
      </c>
      <c r="E8" s="116">
        <f>SUMIF('数据-基础表'!BB10:BK10,"地上",'数据-基础表'!BB5:BK5)</f>
        <v>135065.77000000002</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2331</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2338</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37004.32</v>
      </c>
      <c r="E16" s="120">
        <f>SUM(E8:E15)</f>
        <v>135065.77000000002</v>
      </c>
      <c r="F16" s="1981"/>
      <c r="G16" s="1983"/>
      <c r="H16" s="964" t="s">
        <v>219</v>
      </c>
      <c r="I16" s="965"/>
      <c r="J16" s="1981"/>
      <c r="K16" s="3274" t="s">
        <v>2573</v>
      </c>
      <c r="L16" s="3275"/>
      <c r="M16" s="3275"/>
      <c r="N16" s="3275"/>
      <c r="O16" s="3275"/>
      <c r="P16" s="3276"/>
    </row>
    <row r="17" spans="1:19" ht="15">
      <c r="A17" s="121" t="s">
        <v>216</v>
      </c>
      <c r="B17" s="122" t="s">
        <v>217</v>
      </c>
      <c r="C17" s="2295" t="s">
        <v>2317</v>
      </c>
      <c r="D17" s="108" t="s">
        <v>204</v>
      </c>
      <c r="E17" s="124" t="s">
        <v>205</v>
      </c>
      <c r="F17" s="125"/>
      <c r="G17" s="1362"/>
      <c r="H17" s="966" t="s">
        <v>218</v>
      </c>
      <c r="I17" s="967" t="s">
        <v>2316</v>
      </c>
      <c r="J17" s="1981"/>
      <c r="K17" s="3277" t="s">
        <v>2574</v>
      </c>
      <c r="L17" s="3278"/>
      <c r="M17" s="3279"/>
      <c r="N17" s="3277" t="s">
        <v>2575</v>
      </c>
      <c r="O17" s="3278"/>
      <c r="P17" s="3279"/>
      <c r="R17" s="2296" t="s">
        <v>2315</v>
      </c>
      <c r="S17" s="144"/>
    </row>
    <row r="18" spans="1:19" ht="15">
      <c r="A18" s="117"/>
      <c r="B18" s="128"/>
      <c r="C18" s="129"/>
      <c r="D18" s="2664"/>
      <c r="E18" s="130" t="s">
        <v>220</v>
      </c>
      <c r="F18" s="131" t="s">
        <v>221</v>
      </c>
      <c r="G18" s="1363" t="s">
        <v>222</v>
      </c>
      <c r="H18" s="968" t="s">
        <v>223</v>
      </c>
      <c r="I18" s="969" t="s">
        <v>224</v>
      </c>
      <c r="J18" s="1981"/>
      <c r="K18" s="2626" t="s">
        <v>2576</v>
      </c>
      <c r="L18" s="2627" t="s">
        <v>2577</v>
      </c>
      <c r="M18" s="2628" t="s">
        <v>2578</v>
      </c>
      <c r="N18" s="2626" t="s">
        <v>2576</v>
      </c>
      <c r="O18" s="2627" t="s">
        <v>2577</v>
      </c>
      <c r="P18" s="2628" t="s">
        <v>2578</v>
      </c>
      <c r="R18" s="2297" t="s">
        <v>2313</v>
      </c>
      <c r="S18" s="2297" t="s">
        <v>2314</v>
      </c>
    </row>
    <row r="19" spans="1:19">
      <c r="A19" s="133"/>
      <c r="B19" s="115" t="s">
        <v>225</v>
      </c>
      <c r="C19" s="3047" t="str">
        <f>'数据-基础表'!C13</f>
        <v>住宅</v>
      </c>
      <c r="D19" s="111">
        <f t="shared" ref="D19:D26" si="1">ROUND($D$3*E19/$E$3,2)</f>
        <v>28237.200000000001</v>
      </c>
      <c r="E19" s="134">
        <f t="shared" ref="E19:E26" si="2">SUM(F19:G19)</f>
        <v>103065.77</v>
      </c>
      <c r="F19" s="135">
        <f>'数据-基础表'!I13</f>
        <v>103065.77</v>
      </c>
      <c r="G19" s="1364"/>
      <c r="H19" s="970">
        <f>ROUND($D$3*I19/$E$3,2)</f>
        <v>285.22000000000003</v>
      </c>
      <c r="I19" s="116">
        <f>IF($I$17="自定义",P19,M19)</f>
        <v>1041.07</v>
      </c>
      <c r="J19" s="1981"/>
      <c r="K19" s="2629">
        <f t="shared" ref="K19:K26" si="3">ROUND(E$28*E19/E$27,2)</f>
        <v>1041.07</v>
      </c>
      <c r="L19" s="274">
        <f t="shared" ref="L19:L26" si="4">ROUND(IF(COUNTIF(C19,"*住宅*")&gt;0,E$29*E19/E$32,0),2)</f>
        <v>0</v>
      </c>
      <c r="M19" s="2630">
        <f>K19+L19</f>
        <v>1041.07</v>
      </c>
      <c r="N19" s="2631"/>
      <c r="O19" s="2632"/>
      <c r="P19" s="2633">
        <f>N19+O19</f>
        <v>0</v>
      </c>
      <c r="R19" s="274">
        <f t="shared" ref="R19:S26" si="5">D19+H19</f>
        <v>28522.420000000002</v>
      </c>
      <c r="S19" s="2298">
        <f t="shared" si="5"/>
        <v>104106.84000000001</v>
      </c>
    </row>
    <row r="20" spans="1:19">
      <c r="A20" s="138"/>
      <c r="B20" s="115" t="s">
        <v>226</v>
      </c>
      <c r="C20" s="3047" t="str">
        <f>'数据-基础表'!C14</f>
        <v>商业</v>
      </c>
      <c r="D20" s="111">
        <f t="shared" si="1"/>
        <v>1917.81</v>
      </c>
      <c r="E20" s="134">
        <f t="shared" si="2"/>
        <v>7000</v>
      </c>
      <c r="F20" s="135">
        <f>'数据-基础表'!K14</f>
        <v>7000</v>
      </c>
      <c r="G20" s="1364"/>
      <c r="H20" s="970">
        <f t="shared" ref="H20:H26" si="6">ROUND($D$3*I20/$E$3,2)</f>
        <v>19.37</v>
      </c>
      <c r="I20" s="116">
        <f t="shared" ref="I20:I26" si="7">IF($I$17="自定义",P20,M20)</f>
        <v>70.709999999999994</v>
      </c>
      <c r="J20" s="1981"/>
      <c r="K20" s="2629">
        <f t="shared" si="3"/>
        <v>70.709999999999994</v>
      </c>
      <c r="L20" s="274">
        <f t="shared" si="4"/>
        <v>0</v>
      </c>
      <c r="M20" s="2630">
        <f t="shared" ref="M20:M26" si="8">K20+L20</f>
        <v>70.709999999999994</v>
      </c>
      <c r="N20" s="2631"/>
      <c r="O20" s="2632"/>
      <c r="P20" s="2633">
        <f t="shared" ref="P20:P26" si="9">N20+O20</f>
        <v>0</v>
      </c>
      <c r="R20" s="274">
        <f t="shared" si="5"/>
        <v>1937.1799999999998</v>
      </c>
      <c r="S20" s="2298">
        <f t="shared" si="5"/>
        <v>7070.71</v>
      </c>
    </row>
    <row r="21" spans="1:19">
      <c r="A21" s="138"/>
      <c r="B21" s="115" t="s">
        <v>226</v>
      </c>
      <c r="C21" s="3047" t="str">
        <f>'数据-基础表'!C15</f>
        <v>办公</v>
      </c>
      <c r="D21" s="111">
        <f t="shared" si="1"/>
        <v>6849.31</v>
      </c>
      <c r="E21" s="134">
        <f t="shared" si="2"/>
        <v>25000</v>
      </c>
      <c r="F21" s="135">
        <f>'数据-基础表'!M15</f>
        <v>25000</v>
      </c>
      <c r="G21" s="1364"/>
      <c r="H21" s="970">
        <f t="shared" si="6"/>
        <v>69.19</v>
      </c>
      <c r="I21" s="116">
        <f t="shared" si="7"/>
        <v>252.53</v>
      </c>
      <c r="J21" s="1981"/>
      <c r="K21" s="2629">
        <f t="shared" si="3"/>
        <v>252.53</v>
      </c>
      <c r="L21" s="274">
        <f t="shared" si="4"/>
        <v>0</v>
      </c>
      <c r="M21" s="2630">
        <f t="shared" si="8"/>
        <v>252.53</v>
      </c>
      <c r="N21" s="2631"/>
      <c r="O21" s="2632"/>
      <c r="P21" s="2633">
        <f t="shared" si="9"/>
        <v>0</v>
      </c>
      <c r="R21" s="274">
        <f t="shared" si="5"/>
        <v>6918.5</v>
      </c>
      <c r="S21" s="2298">
        <f t="shared" si="5"/>
        <v>25252.53</v>
      </c>
    </row>
    <row r="22" spans="1:19" hidden="1">
      <c r="A22" s="138"/>
      <c r="B22" s="115" t="s">
        <v>226</v>
      </c>
      <c r="C22" s="1361"/>
      <c r="D22" s="111">
        <f t="shared" si="1"/>
        <v>0</v>
      </c>
      <c r="E22" s="134">
        <f t="shared" si="2"/>
        <v>0</v>
      </c>
      <c r="F22" s="140"/>
      <c r="G22" s="1365"/>
      <c r="H22" s="970">
        <f t="shared" si="6"/>
        <v>0</v>
      </c>
      <c r="I22" s="116">
        <f t="shared" si="7"/>
        <v>0</v>
      </c>
      <c r="J22" s="1981"/>
      <c r="K22" s="2629">
        <f t="shared" si="3"/>
        <v>0</v>
      </c>
      <c r="L22" s="274">
        <f t="shared" si="4"/>
        <v>0</v>
      </c>
      <c r="M22" s="2630">
        <f t="shared" si="8"/>
        <v>0</v>
      </c>
      <c r="N22" s="2631"/>
      <c r="O22" s="2632"/>
      <c r="P22" s="2633">
        <f t="shared" si="9"/>
        <v>0</v>
      </c>
      <c r="R22" s="274">
        <f t="shared" si="5"/>
        <v>0</v>
      </c>
      <c r="S22" s="2298">
        <f t="shared" si="5"/>
        <v>0</v>
      </c>
    </row>
    <row r="23" spans="1:19" hidden="1">
      <c r="A23" s="138"/>
      <c r="B23" s="115" t="s">
        <v>226</v>
      </c>
      <c r="C23" s="139"/>
      <c r="D23" s="111">
        <f>ROUND($D$3*E23/$E$3,2)</f>
        <v>0</v>
      </c>
      <c r="E23" s="134">
        <f>SUM(F23:G23)</f>
        <v>0</v>
      </c>
      <c r="F23" s="140"/>
      <c r="G23" s="1365"/>
      <c r="H23" s="970">
        <f>ROUND($D$3*I23/$E$3,2)</f>
        <v>0</v>
      </c>
      <c r="I23" s="116">
        <f t="shared" si="7"/>
        <v>0</v>
      </c>
      <c r="J23" s="1981"/>
      <c r="K23" s="2629">
        <f t="shared" si="3"/>
        <v>0</v>
      </c>
      <c r="L23" s="274">
        <f t="shared" si="4"/>
        <v>0</v>
      </c>
      <c r="M23" s="2630">
        <f t="shared" si="8"/>
        <v>0</v>
      </c>
      <c r="N23" s="2631"/>
      <c r="O23" s="2632"/>
      <c r="P23" s="2633">
        <f t="shared" si="9"/>
        <v>0</v>
      </c>
      <c r="R23" s="274">
        <f t="shared" si="5"/>
        <v>0</v>
      </c>
      <c r="S23" s="2298">
        <f t="shared" si="5"/>
        <v>0</v>
      </c>
    </row>
    <row r="24" spans="1:19" hidden="1">
      <c r="A24" s="138"/>
      <c r="B24" s="115" t="s">
        <v>226</v>
      </c>
      <c r="C24" s="139"/>
      <c r="D24" s="111">
        <f>ROUND($D$3*E24/$E$3,2)</f>
        <v>0</v>
      </c>
      <c r="E24" s="134">
        <f>SUM(F24:G24)</f>
        <v>0</v>
      </c>
      <c r="F24" s="140"/>
      <c r="G24" s="1365"/>
      <c r="H24" s="970">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hidden="1">
      <c r="A25" s="138"/>
      <c r="B25" s="115" t="s">
        <v>226</v>
      </c>
      <c r="C25" s="139"/>
      <c r="D25" s="111">
        <f t="shared" si="1"/>
        <v>0</v>
      </c>
      <c r="E25" s="134">
        <f t="shared" si="2"/>
        <v>0</v>
      </c>
      <c r="F25" s="140"/>
      <c r="G25" s="1365"/>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hidden="1">
      <c r="A26" s="138"/>
      <c r="B26" s="115" t="s">
        <v>226</v>
      </c>
      <c r="C26" s="142"/>
      <c r="D26" s="111">
        <f t="shared" si="1"/>
        <v>0</v>
      </c>
      <c r="E26" s="134">
        <f t="shared" si="2"/>
        <v>0</v>
      </c>
      <c r="F26" s="140"/>
      <c r="G26" s="1365"/>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215</v>
      </c>
      <c r="D27" s="134">
        <f>SUM(D19:D26)</f>
        <v>37004.32</v>
      </c>
      <c r="E27" s="143">
        <f>IF(SUM(E19:E26)='数据-基础表'!BA5,SUM(E19:E26),IF(F27="地上面积有误","面积有误","地下面积有误"))</f>
        <v>135065.77000000002</v>
      </c>
      <c r="F27" s="134">
        <f>IF(SUM(F19:F26)=E8,SUM(F19:F26),"地上面积有误")</f>
        <v>135065.77000000002</v>
      </c>
      <c r="G27" s="112">
        <f>SUM(G19:G26)</f>
        <v>0</v>
      </c>
      <c r="H27" s="971">
        <f>SUM(H19:H26)</f>
        <v>373.78000000000003</v>
      </c>
      <c r="I27" s="972">
        <f>SUM(I19:I26)</f>
        <v>1364.31</v>
      </c>
      <c r="J27" s="1981"/>
      <c r="K27" s="2638">
        <f>SUM(K19:K26)</f>
        <v>1364.31</v>
      </c>
      <c r="L27" s="2639">
        <f>SUM(L19:L26)</f>
        <v>0</v>
      </c>
      <c r="M27" s="2640">
        <f>SUM(M19:M26)</f>
        <v>1364.31</v>
      </c>
      <c r="N27" s="2638">
        <f t="shared" ref="N27:O27" si="10">SUM(N19:N26)</f>
        <v>0</v>
      </c>
      <c r="O27" s="2639">
        <f t="shared" si="10"/>
        <v>0</v>
      </c>
      <c r="P27" s="2641">
        <f>SUM(P19:P26)</f>
        <v>0</v>
      </c>
      <c r="R27" s="2302">
        <f>IF(SUM(R19:R26)=$D$3,SUM(R19:R26),SUM(R19:R26)&amp;"误差"&amp;ROUND(SUM(R19:R26)-$D$3,2))</f>
        <v>37378.100000000006</v>
      </c>
      <c r="S27" s="274" t="str">
        <f>IF(SUM(S19:S26)=$E$3,SUM(S19:S26),SUM(S19:S26)&amp;"误差"&amp;ROUND(SUM(S19:S26)-E3,2))</f>
        <v>136430.08误差0.01</v>
      </c>
    </row>
    <row r="28" spans="1:19">
      <c r="A28" s="138"/>
      <c r="B28" s="115" t="s">
        <v>227</v>
      </c>
      <c r="C28" s="136" t="s">
        <v>228</v>
      </c>
      <c r="D28" s="111">
        <f>ROUND($D$3*E28/$E$3,2)</f>
        <v>373.78</v>
      </c>
      <c r="E28" s="134">
        <f>SUM(F28:G28)</f>
        <v>1364.3</v>
      </c>
      <c r="F28" s="144">
        <f>'数据-基础表'!BQ5+'数据-基础表'!BS5</f>
        <v>1364.3</v>
      </c>
      <c r="G28" s="145">
        <f>'数据-基础表'!BR5+'数据-基础表'!BT5</f>
        <v>0</v>
      </c>
      <c r="H28" s="1981"/>
      <c r="I28" s="1981"/>
      <c r="J28" s="1981"/>
      <c r="K28" s="1981"/>
      <c r="L28" s="1981"/>
    </row>
    <row r="29" spans="1:19">
      <c r="A29" s="138"/>
      <c r="B29" s="115" t="s">
        <v>227</v>
      </c>
      <c r="C29" s="2310" t="s">
        <v>2324</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373.78</v>
      </c>
      <c r="E30" s="134">
        <f>SUM(E28:E29)</f>
        <v>1364.3</v>
      </c>
      <c r="F30" s="134">
        <f>SUM(F28:F29)</f>
        <v>1364.3</v>
      </c>
      <c r="G30" s="112">
        <f>SUM(G28:G29)</f>
        <v>0</v>
      </c>
      <c r="H30" s="1981"/>
      <c r="I30" s="1981"/>
      <c r="J30" s="1981"/>
      <c r="K30" s="1981"/>
      <c r="L30" s="1981"/>
    </row>
    <row r="31" spans="1:19" ht="32.25" customHeight="1" thickBot="1">
      <c r="A31" s="1366"/>
      <c r="B31" s="1367" t="s">
        <v>229</v>
      </c>
      <c r="C31" s="2327" t="s">
        <v>2326</v>
      </c>
      <c r="D31" s="1368">
        <f>D27+D30</f>
        <v>37378.1</v>
      </c>
      <c r="E31" s="1368">
        <f>E27+E30</f>
        <v>136430.07</v>
      </c>
      <c r="F31" s="1369">
        <f>F27+F30</f>
        <v>136430.07</v>
      </c>
      <c r="G31" s="1370">
        <f>G27+G30</f>
        <v>0</v>
      </c>
      <c r="H31" s="1981"/>
      <c r="I31" s="1981"/>
      <c r="J31" s="1981"/>
      <c r="K31" s="1981"/>
      <c r="L31" s="1981"/>
    </row>
    <row r="32" spans="1:19">
      <c r="A32" s="1981"/>
      <c r="B32" s="2360" t="s">
        <v>2325</v>
      </c>
      <c r="C32" s="2669"/>
      <c r="D32" s="1197"/>
      <c r="E32" s="1197">
        <f>SUMIF(C19:C26,"*住宅*",E19:E26)</f>
        <v>103065.77</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F27" sqref="AF2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3" width="7.25" style="1199" customWidth="1"/>
    <col min="34" max="34" width="9.87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43123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40.5">
      <c r="A5" s="2301"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2837</v>
      </c>
      <c r="O5" s="163" t="s">
        <v>246</v>
      </c>
      <c r="P5" s="165" t="s">
        <v>247</v>
      </c>
      <c r="Q5" s="166" t="s">
        <v>248</v>
      </c>
      <c r="R5" s="167" t="s">
        <v>249</v>
      </c>
      <c r="S5" s="2642" t="s">
        <v>2579</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2327</v>
      </c>
      <c r="AI5" s="171" t="s">
        <v>2296</v>
      </c>
      <c r="AJ5" s="171" t="s">
        <v>258</v>
      </c>
      <c r="AK5" s="159" t="s">
        <v>259</v>
      </c>
      <c r="AL5" s="159" t="s">
        <v>260</v>
      </c>
      <c r="AM5" s="172" t="s">
        <v>261</v>
      </c>
      <c r="AN5" s="2412" t="s">
        <v>2378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68621</v>
      </c>
      <c r="F6" s="174">
        <f>SUMIF(项目基本情况!D$15:I$15,C6,项目基本情况!D$19:I$19)</f>
        <v>69.849999999999994</v>
      </c>
      <c r="G6" s="175">
        <f>IF(ISERROR(ROUND(POWER(1+H6,D6-F6)*(POWER(1+H6,F6)-1)/(POWER(1+H6,D6)-1),3)),0,ROUND(POWER(1+H6,D6-F6)*(POWER(1+H6,F6)-1)/(POWER(1+H6,D6)-1),3))</f>
        <v>1</v>
      </c>
      <c r="H6" s="3048">
        <v>4.4999999999999998E-2</v>
      </c>
      <c r="I6" s="3048">
        <v>0.05</v>
      </c>
      <c r="J6" s="176">
        <v>8.5000000000000006E-2</v>
      </c>
      <c r="K6" s="179">
        <f>SUMIF('数据-汇总表'!C$19:C$33,'数据-取费表'!A6,'数据-汇总表'!E$19:E$33)</f>
        <v>103065.77</v>
      </c>
      <c r="L6" s="3049">
        <v>3000</v>
      </c>
      <c r="M6" s="177">
        <f t="shared" ref="M6:M14" si="0">ROUND(K6*L6/10000,0)</f>
        <v>30920</v>
      </c>
      <c r="N6" s="3050">
        <v>0</v>
      </c>
      <c r="O6" s="177">
        <f>IF($N$5="成新度","——",ROUND(M6*N6,0))</f>
        <v>0</v>
      </c>
      <c r="P6" s="178">
        <f>IF($N$5="成新度","——",M6-O6)</f>
        <v>30920</v>
      </c>
      <c r="Q6" s="3193">
        <v>0.15</v>
      </c>
      <c r="R6" s="179">
        <f>SUMIF('数据-汇总表'!C$19:C$33,A6,'数据-汇总表'!R$19:R$33)</f>
        <v>28522.420000000002</v>
      </c>
      <c r="S6" s="132">
        <f>IF('数据-汇总表'!$I$17="按面积比例",SUMIF('数据-汇总表'!C$19:C$33,A6,'数据-汇总表'!K$19:K$33),SUMIF('数据-汇总表'!C$19:C$33,A6,'数据-汇总表'!N$19:N$33))</f>
        <v>1041.07</v>
      </c>
      <c r="T6" s="2231">
        <f>IF($T$4="按面积比例",IF(ISERROR(ROUND($M$14*S6/S$16,0)),"0",ROUND($M$14*S6/S$16,0)),"需自行计算录入")</f>
        <v>188</v>
      </c>
      <c r="U6" s="180"/>
      <c r="V6" s="181"/>
      <c r="W6" s="181"/>
      <c r="X6" s="2318"/>
      <c r="Y6" s="182"/>
      <c r="Z6" s="183"/>
      <c r="AA6" s="176"/>
      <c r="AB6" s="176"/>
      <c r="AC6" s="2321"/>
      <c r="AD6" s="184"/>
      <c r="AE6" s="968">
        <f ca="1">IF(AN6="",0,SUMIF(INDIRECT("'"&amp;AN6&amp;"'"&amp;"!E:E"),$AE$5,INDIRECT("'"&amp;AN6&amp;"'"&amp;"!F:F")))</f>
        <v>0</v>
      </c>
      <c r="AF6" s="141"/>
      <c r="AG6" s="1209">
        <f>IF(AF6="",0,AE6-AF6)</f>
        <v>0</v>
      </c>
      <c r="AH6" s="141"/>
      <c r="AI6" s="187"/>
      <c r="AJ6" s="188"/>
      <c r="AK6" s="189"/>
      <c r="AL6" s="190"/>
      <c r="AM6" s="3062"/>
      <c r="AN6" s="2413"/>
      <c r="AO6" s="1997"/>
      <c r="AP6" s="1200">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5">
      <c r="A7" s="2299" t="str">
        <f>'数据-汇总表'!C20</f>
        <v>商业</v>
      </c>
      <c r="B7" s="2334" t="str">
        <f t="shared" ref="B7:B13" si="1">IF(A7=0,"","经营性")</f>
        <v>经营性</v>
      </c>
      <c r="C7" s="173" t="s">
        <v>2988</v>
      </c>
      <c r="D7" s="2305">
        <f>SUMIF(项目基本情况!D$15:I$15,C7,项目基本情况!D$18:I$18)</f>
        <v>40</v>
      </c>
      <c r="E7" s="2306">
        <f>IF(B7="","",SUMIF(项目基本情况!D$15:I$15,C7,项目基本情况!D$17:I$17))</f>
        <v>57664</v>
      </c>
      <c r="F7" s="174">
        <f>SUMIF(项目基本情况!D$15:I$15,C7,项目基本情况!D$19:I$19)</f>
        <v>39.83</v>
      </c>
      <c r="G7" s="175">
        <f t="shared" ref="G7:G11" si="2">IF(ISERROR(ROUND(POWER(1+H7,D7-F7)*(POWER(1+H7,F7)-1)/(POWER(1+H7,D7)-1),3)),0,ROUND(POWER(1+H7,D7-F7)*(POWER(1+H7,F7)-1)/(POWER(1+H7,D7)-1),3))</f>
        <v>0.999</v>
      </c>
      <c r="H7" s="3048">
        <v>0.05</v>
      </c>
      <c r="I7" s="3048">
        <v>5.5E-2</v>
      </c>
      <c r="J7" s="176">
        <v>8.5000000000000006E-2</v>
      </c>
      <c r="K7" s="179">
        <f>SUMIF('数据-汇总表'!C$19:C$33,'数据-取费表'!A7,'数据-汇总表'!E$19:E$33)</f>
        <v>7000</v>
      </c>
      <c r="L7" s="3049">
        <v>3500</v>
      </c>
      <c r="M7" s="177">
        <f t="shared" si="0"/>
        <v>2450</v>
      </c>
      <c r="N7" s="3050">
        <v>0</v>
      </c>
      <c r="O7" s="177">
        <f t="shared" ref="O7:O14" si="3">IF($N$5="成新度","——",ROUND(M7*N7,0))</f>
        <v>0</v>
      </c>
      <c r="P7" s="178">
        <f t="shared" ref="P7:P14" si="4">IF($N$5="成新度","——",M7-O7)</f>
        <v>2450</v>
      </c>
      <c r="Q7" s="3193">
        <v>0.2</v>
      </c>
      <c r="R7" s="179">
        <f>SUMIF('数据-汇总表'!C$19:C$33,A7,'数据-汇总表'!R$19:R$33)</f>
        <v>1937.1799999999998</v>
      </c>
      <c r="S7" s="132">
        <f>IF('数据-汇总表'!$I$17="按面积比例",SUMIF('数据-汇总表'!C$19:C$33,A7,'数据-汇总表'!K$19:K$33),SUMIF('数据-汇总表'!C$19:C$33,A7,'数据-汇总表'!N$19:N$33))</f>
        <v>70.709999999999994</v>
      </c>
      <c r="T7" s="2231">
        <f t="shared" ref="T7:T13" si="5">IF($T$4="按面积比例",IF(ISERROR(ROUND($M$14*S7/S$16,0)),"0",ROUND($M$14*S7/S$16,0)),"需自行计算录入")</f>
        <v>13</v>
      </c>
      <c r="U7" s="3179">
        <v>4</v>
      </c>
      <c r="V7" s="181">
        <v>2.5000000000000001E-2</v>
      </c>
      <c r="W7" s="181">
        <v>0.1</v>
      </c>
      <c r="X7" s="2318"/>
      <c r="Y7" s="3192">
        <v>1</v>
      </c>
      <c r="Z7" s="183"/>
      <c r="AA7" s="176"/>
      <c r="AB7" s="176"/>
      <c r="AC7" s="2321"/>
      <c r="AD7" s="184"/>
      <c r="AE7" s="968">
        <f t="shared" ref="AE7:AE13" ca="1" si="6">IF(AN7="",0,SUMIF(INDIRECT("'"&amp;AN7&amp;"'"&amp;"!E:E"),$AE$5,INDIRECT("'"&amp;AN7&amp;"'"&amp;"!F:F")))</f>
        <v>36.33</v>
      </c>
      <c r="AF7" s="141"/>
      <c r="AG7" s="1209">
        <f t="shared" ref="AG7:AG13" si="7">IF(AF7="",0,AE7-AF7)</f>
        <v>0</v>
      </c>
      <c r="AH7" s="3178">
        <f>K7</f>
        <v>7000</v>
      </c>
      <c r="AI7" s="187">
        <v>365</v>
      </c>
      <c r="AJ7" s="188"/>
      <c r="AK7" s="189">
        <v>0.02</v>
      </c>
      <c r="AL7" s="190">
        <v>1.5E-3</v>
      </c>
      <c r="AM7" s="2411">
        <v>0.02</v>
      </c>
      <c r="AN7" s="2413" t="s">
        <v>3037</v>
      </c>
      <c r="AO7" s="1997"/>
      <c r="AP7" s="1200">
        <f t="shared" ref="AP7:AP13" si="8">ROUND(1-1/(1+H7)^F7,3)</f>
        <v>0.85699999999999998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办公</v>
      </c>
      <c r="B8" s="2334" t="str">
        <f t="shared" si="1"/>
        <v>经营性</v>
      </c>
      <c r="C8" s="173" t="s">
        <v>2988</v>
      </c>
      <c r="D8" s="2305">
        <f>SUMIF(项目基本情况!D$15:I$15,C8,项目基本情况!D$18:I$18)</f>
        <v>40</v>
      </c>
      <c r="E8" s="2306">
        <f>IF(B8="","",SUMIF(项目基本情况!D$15:I$15,C8,项目基本情况!D$17:I$17))</f>
        <v>57664</v>
      </c>
      <c r="F8" s="174">
        <f>SUMIF(项目基本情况!D$15:I$15,C8,项目基本情况!D$19:I$19)</f>
        <v>39.83</v>
      </c>
      <c r="G8" s="175">
        <f t="shared" si="2"/>
        <v>0.999</v>
      </c>
      <c r="H8" s="3048">
        <v>0.05</v>
      </c>
      <c r="I8" s="3048">
        <v>5.5E-2</v>
      </c>
      <c r="J8" s="176">
        <v>8.5000000000000006E-2</v>
      </c>
      <c r="K8" s="179">
        <f>SUMIF('数据-汇总表'!C$19:C$33,'数据-取费表'!A8,'数据-汇总表'!E$19:E$33)</f>
        <v>25000</v>
      </c>
      <c r="L8" s="3049">
        <v>2600</v>
      </c>
      <c r="M8" s="177">
        <f>ROUND(K8*L8/10000,0)</f>
        <v>6500</v>
      </c>
      <c r="N8" s="3050">
        <v>0</v>
      </c>
      <c r="O8" s="177">
        <f t="shared" si="3"/>
        <v>0</v>
      </c>
      <c r="P8" s="178">
        <f t="shared" si="4"/>
        <v>6500</v>
      </c>
      <c r="Q8" s="3051">
        <v>0.1</v>
      </c>
      <c r="R8" s="179">
        <f>SUMIF('数据-汇总表'!C$19:C$33,A8,'数据-汇总表'!R$19:R$33)</f>
        <v>6918.5</v>
      </c>
      <c r="S8" s="132">
        <f>IF('数据-汇总表'!$I$17="按面积比例",SUMIF('数据-汇总表'!C$19:C$33,A8,'数据-汇总表'!K$19:K$33),SUMIF('数据-汇总表'!C$19:C$33,A8,'数据-汇总表'!N$19:N$33))</f>
        <v>252.53</v>
      </c>
      <c r="T8" s="2231">
        <f t="shared" si="5"/>
        <v>46</v>
      </c>
      <c r="U8" s="180"/>
      <c r="V8" s="181"/>
      <c r="W8" s="181"/>
      <c r="X8" s="2318"/>
      <c r="Y8" s="182"/>
      <c r="Z8" s="183"/>
      <c r="AA8" s="176"/>
      <c r="AB8" s="176"/>
      <c r="AC8" s="2321"/>
      <c r="AD8" s="184"/>
      <c r="AE8" s="968">
        <f t="shared" ca="1" si="6"/>
        <v>0</v>
      </c>
      <c r="AF8" s="141"/>
      <c r="AG8" s="1209">
        <f t="shared" si="7"/>
        <v>0</v>
      </c>
      <c r="AH8" s="141"/>
      <c r="AI8" s="187"/>
      <c r="AJ8" s="188"/>
      <c r="AK8" s="189"/>
      <c r="AL8" s="190"/>
      <c r="AM8" s="2411"/>
      <c r="AN8" s="2413"/>
      <c r="AO8" s="1997"/>
      <c r="AP8" s="1200">
        <f t="shared" si="8"/>
        <v>0.85699999999999998</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2318</v>
      </c>
      <c r="B14" s="2303" t="s">
        <v>1681</v>
      </c>
      <c r="C14" s="2304" t="s">
        <v>2318</v>
      </c>
      <c r="D14" s="2305"/>
      <c r="E14" s="2306"/>
      <c r="F14" s="174"/>
      <c r="G14" s="175"/>
      <c r="H14" s="2307"/>
      <c r="I14" s="2307"/>
      <c r="J14" s="2307"/>
      <c r="K14" s="179">
        <f>SUMIF('数据-汇总表'!C$19:C$33,'数据-取费表'!A14,'数据-汇总表'!E$19:E$33)</f>
        <v>1364.3</v>
      </c>
      <c r="L14" s="193">
        <v>1800</v>
      </c>
      <c r="M14" s="177">
        <f t="shared" si="0"/>
        <v>246</v>
      </c>
      <c r="N14" s="194"/>
      <c r="O14" s="177">
        <f t="shared" si="3"/>
        <v>0</v>
      </c>
      <c r="P14" s="178">
        <f t="shared" si="4"/>
        <v>246</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2320</v>
      </c>
      <c r="B15" s="2303" t="s">
        <v>1681</v>
      </c>
      <c r="C15" s="2304" t="s">
        <v>2319</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136430.07</v>
      </c>
      <c r="L16" s="206">
        <f>ROUND(M16*10000/SUM(K6:K14),0)</f>
        <v>2940</v>
      </c>
      <c r="M16" s="206">
        <f>SUM(M6:M14)</f>
        <v>40116</v>
      </c>
      <c r="N16" s="207">
        <f>ROUND(SUMPRODUCT(M6:M14,N6:N14)/M16,3)</f>
        <v>0</v>
      </c>
      <c r="O16" s="206">
        <f>SUM(O6:O14)</f>
        <v>0</v>
      </c>
      <c r="P16" s="206">
        <f>SUM(P6:P14)</f>
        <v>40116</v>
      </c>
      <c r="Q16" s="208">
        <f>ROUND(SUMPRODUCT(Q6:Q13,K6:K13)/SUMPRODUCT((Q6:Q13&gt;0)*(K6:K13)),2)</f>
        <v>0.14000000000000001</v>
      </c>
      <c r="R16" s="2308">
        <f>SUM(R6:R13)</f>
        <v>37378.100000000006</v>
      </c>
      <c r="S16" s="209">
        <f>SUM(S6:S13)</f>
        <v>1364.31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0.93100000000000005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3194" t="s">
        <v>3061</v>
      </c>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2340</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3.5</v>
      </c>
      <c r="C20" s="2361" t="s">
        <v>2339</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2342</v>
      </c>
      <c r="B27" s="227">
        <v>105</v>
      </c>
      <c r="C27" s="2364" t="s">
        <v>2346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2343</v>
      </c>
      <c r="B28" s="229">
        <v>105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2341</v>
      </c>
      <c r="B29" s="232">
        <v>0</v>
      </c>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0.03</v>
      </c>
      <c r="C33" s="2362" t="s">
        <v>2903</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2904</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2905</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2906</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2907</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2907</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2462</v>
      </c>
      <c r="B39" s="797">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2463</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123">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2908</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2909</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2910</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7" t="s">
        <v>2911</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8" t="s">
        <v>2912</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8" t="s">
        <v>2913</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4</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3164" t="s">
        <v>2996</v>
      </c>
      <c r="C53" s="3099" t="s">
        <v>2914</v>
      </c>
      <c r="D53" s="3100" t="s">
        <v>2915</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2" t="s">
        <v>2916</v>
      </c>
      <c r="B54" s="186">
        <v>10</v>
      </c>
      <c r="C54" s="1991">
        <v>30</v>
      </c>
      <c r="D54" s="310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2" t="s">
        <v>2917</v>
      </c>
      <c r="B55" s="186">
        <v>8</v>
      </c>
      <c r="C55" s="1991">
        <v>24</v>
      </c>
      <c r="D55" s="310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2" t="s">
        <v>2918</v>
      </c>
      <c r="B56" s="186">
        <v>6</v>
      </c>
      <c r="C56" s="1991">
        <v>18</v>
      </c>
      <c r="D56" s="310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2" t="s">
        <v>2919</v>
      </c>
      <c r="B57" s="186">
        <v>4</v>
      </c>
      <c r="C57" s="1991">
        <v>12</v>
      </c>
      <c r="D57" s="310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2" t="s">
        <v>2920</v>
      </c>
      <c r="B58" s="186"/>
      <c r="C58" s="1991">
        <v>3</v>
      </c>
      <c r="D58" s="310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2" t="s">
        <v>2921</v>
      </c>
      <c r="B59" s="186"/>
      <c r="C59" s="1991">
        <v>1.5</v>
      </c>
      <c r="D59" s="310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2" t="s">
        <v>2922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2" t="s">
        <v>2923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2" t="s">
        <v>2924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3" t="s">
        <v>2925</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89" t="s">
        <v>1665</v>
      </c>
      <c r="B1" s="3290"/>
      <c r="C1" s="3290"/>
      <c r="D1" s="3290"/>
      <c r="E1" s="3290"/>
      <c r="F1" s="3290"/>
      <c r="G1" s="3290"/>
      <c r="H1" s="1999"/>
      <c r="I1" s="2000"/>
      <c r="J1" s="2001"/>
      <c r="K1" s="1999"/>
      <c r="L1" s="2000"/>
      <c r="M1" s="2001"/>
      <c r="N1" s="1999"/>
      <c r="O1" s="2000"/>
      <c r="P1" s="2001"/>
      <c r="Q1" s="2002"/>
      <c r="R1" s="2003"/>
    </row>
    <row r="2" spans="1:18" ht="14.25" thickBot="1">
      <c r="A2" s="1217"/>
      <c r="B2" s="1218"/>
      <c r="C2" s="1219" t="s">
        <v>1666</v>
      </c>
      <c r="D2" s="1220"/>
      <c r="E2" s="1221"/>
      <c r="F2" s="1222"/>
      <c r="G2" s="1219" t="s">
        <v>1667</v>
      </c>
      <c r="H2" s="2005"/>
      <c r="I2" s="2005"/>
      <c r="J2" s="2005"/>
      <c r="K2" s="2005"/>
      <c r="L2" s="2005"/>
      <c r="M2" s="2005"/>
      <c r="N2" s="2005"/>
      <c r="O2" s="2005"/>
      <c r="P2" s="2005"/>
      <c r="Q2" s="2005"/>
      <c r="R2" s="2005"/>
    </row>
    <row r="3" spans="1:18" ht="54">
      <c r="A3" s="1223" t="s">
        <v>1668</v>
      </c>
      <c r="B3" s="1224" t="s">
        <v>1655</v>
      </c>
      <c r="C3" s="3104" t="s">
        <v>2932</v>
      </c>
      <c r="D3" s="2006"/>
      <c r="E3" s="1225" t="s">
        <v>1668</v>
      </c>
      <c r="F3" s="1226" t="s">
        <v>1656</v>
      </c>
      <c r="G3" s="3108" t="s">
        <v>2931</v>
      </c>
      <c r="H3" s="2005"/>
      <c r="I3" s="2005"/>
      <c r="J3" s="2005"/>
      <c r="K3" s="2005"/>
      <c r="L3" s="2005"/>
      <c r="M3" s="2005"/>
      <c r="N3" s="2005"/>
      <c r="O3" s="2005"/>
      <c r="P3" s="2005"/>
      <c r="Q3" s="2005"/>
      <c r="R3" s="2005"/>
    </row>
    <row r="4" spans="1:18" ht="41.25">
      <c r="A4" s="1225"/>
      <c r="B4" s="1227" t="s">
        <v>1669</v>
      </c>
      <c r="C4" s="3105" t="s">
        <v>2933</v>
      </c>
      <c r="D4" s="2006"/>
      <c r="E4" s="1228"/>
      <c r="F4" s="1229" t="s">
        <v>1670</v>
      </c>
      <c r="G4" s="3106" t="s">
        <v>2928</v>
      </c>
      <c r="H4" s="2005"/>
      <c r="I4" s="2005"/>
      <c r="J4" s="2005"/>
      <c r="K4" s="2005"/>
      <c r="L4" s="2005"/>
      <c r="M4" s="2005"/>
      <c r="N4" s="2005"/>
      <c r="O4" s="2005"/>
      <c r="P4" s="2005"/>
      <c r="Q4" s="2005"/>
      <c r="R4" s="2005"/>
    </row>
    <row r="5" spans="1:18" ht="41.25">
      <c r="A5" s="1225"/>
      <c r="B5" s="1227" t="s">
        <v>1671</v>
      </c>
      <c r="C5" s="3105" t="s">
        <v>2934</v>
      </c>
      <c r="D5" s="2006"/>
      <c r="E5" s="1228"/>
      <c r="F5" s="1227" t="s">
        <v>2553</v>
      </c>
      <c r="G5" s="3106" t="s">
        <v>2929</v>
      </c>
      <c r="H5" s="2005"/>
      <c r="I5" s="2005"/>
      <c r="J5" s="2005"/>
      <c r="K5" s="2005"/>
      <c r="L5" s="2005"/>
      <c r="M5" s="2005"/>
      <c r="N5" s="2005"/>
      <c r="O5" s="2005"/>
      <c r="P5" s="2005"/>
      <c r="Q5" s="2005"/>
      <c r="R5" s="2005"/>
    </row>
    <row r="6" spans="1:18" ht="54">
      <c r="A6" s="1225"/>
      <c r="B6" s="1227" t="s">
        <v>1657</v>
      </c>
      <c r="C6" s="3106" t="s">
        <v>2928</v>
      </c>
      <c r="D6" s="2006"/>
      <c r="E6" s="1228"/>
      <c r="F6" s="1227" t="s">
        <v>2554</v>
      </c>
      <c r="G6" s="3106" t="s">
        <v>2926</v>
      </c>
      <c r="H6" s="2005"/>
      <c r="I6" s="2005"/>
      <c r="J6" s="2005"/>
      <c r="K6" s="2005"/>
      <c r="L6" s="2005"/>
      <c r="M6" s="2005"/>
      <c r="N6" s="2005"/>
      <c r="O6" s="2005"/>
      <c r="P6" s="2005"/>
      <c r="Q6" s="2005"/>
      <c r="R6" s="2005"/>
    </row>
    <row r="7" spans="1:18" ht="41.25" thickBot="1">
      <c r="A7" s="1225"/>
      <c r="B7" s="1227" t="s">
        <v>2553</v>
      </c>
      <c r="C7" s="3106" t="s">
        <v>2929</v>
      </c>
      <c r="D7" s="2007"/>
      <c r="E7" s="1230"/>
      <c r="F7" s="1231" t="s">
        <v>1672</v>
      </c>
      <c r="G7" s="3109" t="s">
        <v>2930</v>
      </c>
      <c r="H7" s="2005"/>
      <c r="I7" s="2005"/>
      <c r="J7" s="2005"/>
      <c r="K7" s="2005"/>
      <c r="L7" s="2005"/>
      <c r="M7" s="2005"/>
      <c r="N7" s="2005"/>
      <c r="O7" s="2005"/>
      <c r="P7" s="2005"/>
      <c r="Q7" s="2005"/>
      <c r="R7" s="2005"/>
    </row>
    <row r="8" spans="1:18" ht="27">
      <c r="A8" s="1225"/>
      <c r="B8" s="1227" t="s">
        <v>2554</v>
      </c>
      <c r="C8" s="3106" t="s">
        <v>2926</v>
      </c>
      <c r="D8" s="2007"/>
      <c r="E8" s="2007"/>
      <c r="F8" s="1550"/>
      <c r="G8" s="1550"/>
      <c r="H8" s="2005"/>
      <c r="I8" s="2005"/>
      <c r="J8" s="2005"/>
      <c r="K8" s="2005"/>
      <c r="L8" s="2005"/>
      <c r="M8" s="2005"/>
      <c r="N8" s="2005"/>
      <c r="O8" s="2005"/>
      <c r="P8" s="2005"/>
      <c r="Q8" s="2005"/>
      <c r="R8" s="2005"/>
    </row>
    <row r="9" spans="1:18" ht="40.5">
      <c r="A9" s="1225"/>
      <c r="B9" s="1227" t="s">
        <v>1658</v>
      </c>
      <c r="C9" s="3105" t="s">
        <v>2927</v>
      </c>
      <c r="D9" s="2006"/>
      <c r="E9" s="2007"/>
      <c r="F9" s="1550"/>
      <c r="G9" s="1550"/>
      <c r="H9" s="2005"/>
      <c r="I9" s="2005"/>
      <c r="J9" s="2005"/>
      <c r="K9" s="2005"/>
      <c r="L9" s="2005"/>
      <c r="M9" s="2005"/>
      <c r="N9" s="2005"/>
      <c r="O9" s="2005"/>
      <c r="P9" s="2005"/>
      <c r="Q9" s="2005"/>
      <c r="R9" s="2005"/>
    </row>
    <row r="10" spans="1:18" s="2013" customFormat="1" ht="15" thickBot="1">
      <c r="A10" s="1232"/>
      <c r="B10" s="1233" t="s">
        <v>1673</v>
      </c>
      <c r="C10" s="3107"/>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0"/>
      <c r="E13" s="2599"/>
      <c r="F13" s="2599"/>
      <c r="G13" s="2599"/>
    </row>
    <row r="14" spans="1:18" ht="14.25" thickBot="1">
      <c r="A14" s="1234"/>
      <c r="B14" s="1235"/>
      <c r="C14" s="1236" t="s">
        <v>1666</v>
      </c>
      <c r="D14" s="2006"/>
      <c r="E14" s="1237"/>
      <c r="F14" s="1237"/>
      <c r="G14" s="1219" t="s">
        <v>1667</v>
      </c>
    </row>
    <row r="15" spans="1:18" ht="54">
      <c r="A15" s="2609" t="s">
        <v>1659</v>
      </c>
      <c r="B15" s="1238" t="s">
        <v>1655</v>
      </c>
      <c r="C15" s="1239" t="str">
        <f>C3</f>
        <v>估价对象周边居住用地比例、居住小区规模和社区发展完善程度，综合评价居住社区成熟度一般</v>
      </c>
      <c r="D15" s="2006"/>
      <c r="E15" s="2606" t="s">
        <v>1660</v>
      </c>
      <c r="F15" s="1238" t="s">
        <v>1675</v>
      </c>
      <c r="G15" s="1240" t="str">
        <f>G3</f>
        <v>估价对象位于XX开发区，园区建设成熟度XX，产业集聚程度XX</v>
      </c>
    </row>
    <row r="16" spans="1:18" ht="40.5">
      <c r="A16" s="2610"/>
      <c r="B16" s="1241" t="s">
        <v>1669</v>
      </c>
      <c r="C16" s="1242" t="str">
        <f>C4</f>
        <v>估价对象位于XX商圈，周边商业氛围成熟，人流量大，商业繁华度好</v>
      </c>
      <c r="D16" s="2006"/>
      <c r="E16" s="2607"/>
      <c r="F16" s="1243" t="s">
        <v>1670</v>
      </c>
      <c r="G16" s="1001" t="str">
        <f>G4</f>
        <v>估价对象周边道路状况、公共交通通达情况、停车便捷程度，综合评价交通便捷度较好</v>
      </c>
    </row>
    <row r="17" spans="1:7" ht="40.5">
      <c r="A17" s="2610"/>
      <c r="B17" s="1241" t="s">
        <v>1671</v>
      </c>
      <c r="C17" s="1242" t="str">
        <f>C5</f>
        <v>估价对象位于XX商圈，周边办公楼项目较多，入驻率高，办公集聚程度较好</v>
      </c>
      <c r="D17" s="2007"/>
      <c r="E17" s="2607"/>
      <c r="F17" s="1243" t="s">
        <v>1676</v>
      </c>
      <c r="G17" s="2817"/>
    </row>
    <row r="18" spans="1:7" ht="54">
      <c r="A18" s="2610"/>
      <c r="B18" s="1243" t="s">
        <v>1657</v>
      </c>
      <c r="C18" s="1001" t="str">
        <f>C6</f>
        <v>估价对象周边道路状况、公共交通通达情况、停车便捷程度，综合评价交通便捷度较好</v>
      </c>
      <c r="D18" s="2007"/>
      <c r="E18" s="2607"/>
      <c r="F18" s="1243" t="s">
        <v>1672</v>
      </c>
      <c r="G18" s="1001" t="str">
        <f>G7</f>
        <v>该园区内是否有污染型企业，绿化情况，卫生条件，整体环境状况判断</v>
      </c>
    </row>
    <row r="19" spans="1:7" ht="27">
      <c r="A19" s="2610"/>
      <c r="B19" s="1243" t="s">
        <v>1661</v>
      </c>
      <c r="C19" s="2817"/>
      <c r="D19" s="2006"/>
      <c r="E19" s="2607"/>
      <c r="F19" s="1227" t="s">
        <v>2553</v>
      </c>
      <c r="G19" s="1001" t="str">
        <f>G5</f>
        <v>估价对象所在区域公共配套设施齐备情况</v>
      </c>
    </row>
    <row r="20" spans="1:7" ht="40.5">
      <c r="A20" s="2610"/>
      <c r="B20" s="1243" t="s">
        <v>1662</v>
      </c>
      <c r="C20" s="1242" t="str">
        <f>C9</f>
        <v>区域自然环境：；人文环境；综合评价环境状况一般</v>
      </c>
      <c r="D20" s="2007"/>
      <c r="E20" s="2607"/>
      <c r="F20" s="1227" t="s">
        <v>2554</v>
      </c>
      <c r="G20" s="1001" t="str">
        <f>G6</f>
        <v>估价对象所在区域基础设施水平</v>
      </c>
    </row>
    <row r="21" spans="1:7" ht="27">
      <c r="A21" s="2610"/>
      <c r="B21" s="1227" t="s">
        <v>2553</v>
      </c>
      <c r="C21" s="1001" t="str">
        <f>C7</f>
        <v>估价对象所在区域公共配套设施齐备情况</v>
      </c>
      <c r="D21" s="2006"/>
      <c r="E21" s="2607"/>
      <c r="F21" s="1243" t="s">
        <v>1663</v>
      </c>
      <c r="G21" s="3110"/>
    </row>
    <row r="22" spans="1:7" ht="27">
      <c r="A22" s="2610"/>
      <c r="B22" s="1227" t="s">
        <v>2554</v>
      </c>
      <c r="C22" s="1001" t="str">
        <f>C8</f>
        <v>估价对象所在区域基础设施水平</v>
      </c>
      <c r="D22" s="2006"/>
      <c r="E22" s="2607"/>
      <c r="F22" s="1243" t="s">
        <v>1673</v>
      </c>
      <c r="G22" s="2817"/>
    </row>
    <row r="23" spans="1:7" ht="15" thickBot="1">
      <c r="A23" s="2610"/>
      <c r="B23" s="1243" t="s">
        <v>1663</v>
      </c>
      <c r="C23" s="3110"/>
      <c r="E23" s="2608"/>
      <c r="F23" s="1244" t="s">
        <v>1677</v>
      </c>
      <c r="G23" s="3111"/>
    </row>
    <row r="24" spans="1:7" ht="14.25" thickBot="1">
      <c r="A24" s="2611"/>
      <c r="B24" s="1244" t="s">
        <v>1664</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6" sqref="G6"/>
    </sheetView>
  </sheetViews>
  <sheetFormatPr defaultColWidth="14.625" defaultRowHeight="13.5"/>
  <cols>
    <col min="1" max="1" width="24.375" customWidth="1"/>
  </cols>
  <sheetData>
    <row r="1" spans="1:9" ht="16.5">
      <c r="A1" s="3068" t="s">
        <v>2853</v>
      </c>
      <c r="B1" s="3068">
        <f>SUM(B14:B23)</f>
        <v>493048.30999999994</v>
      </c>
      <c r="C1" s="3069"/>
      <c r="D1" s="3069"/>
      <c r="E1" s="3069"/>
      <c r="F1" s="3069"/>
    </row>
    <row r="2" spans="1:9" ht="16.5">
      <c r="A2" s="3068" t="s">
        <v>2854</v>
      </c>
      <c r="B2" s="3068">
        <f>SUM(C14:C23)</f>
        <v>136508</v>
      </c>
      <c r="C2" s="3069"/>
      <c r="D2" s="3069"/>
      <c r="E2" s="3069"/>
      <c r="F2" s="3069"/>
    </row>
    <row r="3" spans="1:9" ht="16.5">
      <c r="A3" s="3068" t="s">
        <v>2855</v>
      </c>
      <c r="B3" s="3070">
        <f>项目基本情况!D3</f>
        <v>43123</v>
      </c>
      <c r="C3" s="3069"/>
      <c r="D3" s="3069"/>
      <c r="E3" s="3069"/>
      <c r="F3" s="3069"/>
    </row>
    <row r="4" spans="1:9" ht="33">
      <c r="A4" s="3068" t="s">
        <v>2856</v>
      </c>
      <c r="B4" s="3068" t="s">
        <v>2857</v>
      </c>
      <c r="C4" s="3068" t="s">
        <v>2858</v>
      </c>
      <c r="D4" s="3068" t="s">
        <v>2859</v>
      </c>
      <c r="E4" s="3069"/>
      <c r="F4" s="3069"/>
    </row>
    <row r="5" spans="1:9" ht="16.5">
      <c r="A5" s="3068" t="s">
        <v>2860</v>
      </c>
      <c r="B5" s="3068">
        <f ca="1">SUM(D14:D23)</f>
        <v>748647</v>
      </c>
      <c r="C5" s="3068">
        <f ca="1">ROUND(B5*10000/$B$1,0)</f>
        <v>15184</v>
      </c>
      <c r="D5" s="3068">
        <f ca="1">ROUND(B5*10000/$B$2,0)</f>
        <v>54843</v>
      </c>
      <c r="E5" s="3069"/>
      <c r="F5" s="3069"/>
    </row>
    <row r="6" spans="1:9" ht="16.5">
      <c r="A6" s="3068" t="s">
        <v>2861</v>
      </c>
      <c r="B6" s="3068">
        <f>SUM(G14:G23)</f>
        <v>0</v>
      </c>
      <c r="C6" s="3068">
        <f t="shared" ref="C6:C8" si="0">ROUND(B6*10000/$B$1,0)</f>
        <v>0</v>
      </c>
      <c r="D6" s="3068">
        <f t="shared" ref="D6:D8" si="1">ROUND(B6*10000/$B$2,0)</f>
        <v>0</v>
      </c>
      <c r="E6" s="3069"/>
      <c r="F6" s="3069"/>
    </row>
    <row r="7" spans="1:9" ht="16.5">
      <c r="A7" s="3068" t="s">
        <v>2862</v>
      </c>
      <c r="B7" s="3068">
        <f>SUM(H14:H23)</f>
        <v>0</v>
      </c>
      <c r="C7" s="3068">
        <f t="shared" si="0"/>
        <v>0</v>
      </c>
      <c r="D7" s="3068">
        <f t="shared" si="1"/>
        <v>0</v>
      </c>
      <c r="E7" s="3069"/>
      <c r="F7" s="3069"/>
    </row>
    <row r="8" spans="1:9" ht="16.5">
      <c r="A8" s="3068" t="s">
        <v>2863</v>
      </c>
      <c r="B8" s="3068">
        <f>SUM(I14:I23)</f>
        <v>0</v>
      </c>
      <c r="C8" s="3068">
        <f t="shared" si="0"/>
        <v>0</v>
      </c>
      <c r="D8" s="3068">
        <f t="shared" si="1"/>
        <v>0</v>
      </c>
      <c r="E8" s="3069"/>
      <c r="F8" s="3069"/>
    </row>
    <row r="9" spans="1:9" ht="16.5">
      <c r="A9" s="3068" t="s">
        <v>2864</v>
      </c>
      <c r="B9" s="3071"/>
      <c r="C9" s="3069"/>
      <c r="D9" s="3069"/>
      <c r="E9" s="3069"/>
      <c r="F9" s="3069"/>
    </row>
    <row r="10" spans="1:9" ht="16.5">
      <c r="A10" s="3068" t="s">
        <v>2865</v>
      </c>
      <c r="B10" s="3071"/>
      <c r="C10" s="3069"/>
      <c r="D10" s="3069"/>
      <c r="E10" s="3069"/>
      <c r="F10" s="3069"/>
    </row>
    <row r="11" spans="1:9" ht="16.5">
      <c r="A11" s="3068" t="s">
        <v>2882</v>
      </c>
      <c r="B11" s="3071"/>
      <c r="C11" s="3069"/>
      <c r="D11" s="3069"/>
      <c r="E11" s="3069"/>
      <c r="F11" s="3069"/>
    </row>
    <row r="12" spans="1:9" ht="16.5">
      <c r="A12" s="3069"/>
      <c r="B12" s="3069"/>
      <c r="C12" s="3069"/>
      <c r="D12" s="3069"/>
      <c r="E12" s="3069"/>
      <c r="F12" s="3069"/>
    </row>
    <row r="13" spans="1:9" ht="33">
      <c r="A13" s="3074" t="s">
        <v>2881</v>
      </c>
      <c r="B13" s="3072" t="s">
        <v>2853</v>
      </c>
      <c r="C13" s="3072" t="s">
        <v>2854</v>
      </c>
      <c r="D13" s="3072" t="s">
        <v>2866</v>
      </c>
      <c r="E13" s="3068" t="s">
        <v>2880</v>
      </c>
      <c r="F13" s="3068" t="s">
        <v>2859</v>
      </c>
      <c r="G13" s="3072" t="s">
        <v>2867</v>
      </c>
      <c r="H13" s="3072" t="s">
        <v>2868</v>
      </c>
      <c r="I13" s="3072" t="s">
        <v>2869</v>
      </c>
    </row>
    <row r="14" spans="1:9" ht="16.5">
      <c r="A14" s="3075" t="s">
        <v>2879</v>
      </c>
      <c r="B14" s="3072">
        <f>结果表!L38</f>
        <v>136430.07</v>
      </c>
      <c r="C14" s="3072">
        <f>结果表!K38</f>
        <v>37378.1</v>
      </c>
      <c r="D14" s="3072">
        <f ca="1">结果表!C42</f>
        <v>269141</v>
      </c>
      <c r="E14" s="3072">
        <f ca="1">ROUND(D14*10000/B14,0)</f>
        <v>19727</v>
      </c>
      <c r="F14" s="3072">
        <f ca="1">ROUND(D14*10000/C14,0)</f>
        <v>72005</v>
      </c>
      <c r="G14" s="3072" t="str">
        <f>结果表!C44</f>
        <v>——</v>
      </c>
      <c r="H14" s="3072" t="str">
        <f>结果表!C45</f>
        <v>——</v>
      </c>
      <c r="I14" s="3072" t="str">
        <f>结果表!C46</f>
        <v>——</v>
      </c>
    </row>
    <row r="15" spans="1:9" ht="16.5">
      <c r="A15" s="3075" t="s">
        <v>2870</v>
      </c>
      <c r="B15" s="3202">
        <f>'[1]数据-汇总表'!$E$3</f>
        <v>171823.41</v>
      </c>
      <c r="C15" s="3202">
        <f>'[1]数据-汇总表'!$D$3</f>
        <v>36257.9</v>
      </c>
      <c r="D15" s="3202">
        <f ca="1">[1]结果表!$G$19</f>
        <v>79198</v>
      </c>
      <c r="E15" s="3072">
        <f t="shared" ref="E15:E23" ca="1" si="2">ROUND(D15*10000/B15,0)</f>
        <v>4609</v>
      </c>
      <c r="F15" s="3072">
        <f t="shared" ref="F15:F23" ca="1" si="3">ROUND(D15*10000/C15,0)</f>
        <v>21843</v>
      </c>
      <c r="G15" s="3073"/>
      <c r="H15" s="3073"/>
      <c r="I15" s="3076"/>
    </row>
    <row r="16" spans="1:9" ht="16.5">
      <c r="A16" s="3075" t="s">
        <v>2871</v>
      </c>
      <c r="B16" s="3202">
        <f>'[2]数据-汇总表'!$E$3</f>
        <v>184794.83</v>
      </c>
      <c r="C16" s="3202">
        <f>'[2]数据-汇总表'!$D$3</f>
        <v>62872</v>
      </c>
      <c r="D16" s="3202">
        <f ca="1">[2]结果表!$G$19</f>
        <v>400308</v>
      </c>
      <c r="E16" s="3072">
        <f t="shared" ca="1" si="2"/>
        <v>21662</v>
      </c>
      <c r="F16" s="3072">
        <f t="shared" ca="1" si="3"/>
        <v>63670</v>
      </c>
      <c r="G16" s="3073"/>
      <c r="H16" s="3073"/>
      <c r="I16" s="3076"/>
    </row>
    <row r="17" spans="1:9" ht="16.5">
      <c r="A17" s="3075" t="s">
        <v>2872</v>
      </c>
      <c r="B17" s="3076"/>
      <c r="C17" s="3076"/>
      <c r="D17" s="3076"/>
      <c r="E17" s="3072" t="e">
        <f t="shared" si="2"/>
        <v>#DIV/0!</v>
      </c>
      <c r="F17" s="3072" t="e">
        <f t="shared" si="3"/>
        <v>#DIV/0!</v>
      </c>
      <c r="G17" s="3073"/>
      <c r="H17" s="3073"/>
      <c r="I17" s="3076"/>
    </row>
    <row r="18" spans="1:9" ht="16.5">
      <c r="A18" s="3075" t="s">
        <v>2873</v>
      </c>
      <c r="B18" s="3076"/>
      <c r="C18" s="3076"/>
      <c r="D18" s="3076"/>
      <c r="E18" s="3072" t="e">
        <f t="shared" si="2"/>
        <v>#DIV/0!</v>
      </c>
      <c r="F18" s="3072" t="e">
        <f t="shared" si="3"/>
        <v>#DIV/0!</v>
      </c>
      <c r="G18" s="3076"/>
      <c r="H18" s="3076"/>
      <c r="I18" s="3076"/>
    </row>
    <row r="19" spans="1:9" ht="16.5">
      <c r="A19" s="3075" t="s">
        <v>2874</v>
      </c>
      <c r="B19" s="3076"/>
      <c r="C19" s="3076"/>
      <c r="D19" s="3076"/>
      <c r="E19" s="3072" t="e">
        <f t="shared" si="2"/>
        <v>#DIV/0!</v>
      </c>
      <c r="F19" s="3072" t="e">
        <f t="shared" si="3"/>
        <v>#DIV/0!</v>
      </c>
      <c r="G19" s="3076"/>
      <c r="H19" s="3076"/>
      <c r="I19" s="3076"/>
    </row>
    <row r="20" spans="1:9" ht="16.5">
      <c r="A20" s="3075" t="s">
        <v>2875</v>
      </c>
      <c r="B20" s="3076"/>
      <c r="C20" s="3076"/>
      <c r="D20" s="3076"/>
      <c r="E20" s="3072" t="e">
        <f t="shared" si="2"/>
        <v>#DIV/0!</v>
      </c>
      <c r="F20" s="3072" t="e">
        <f t="shared" si="3"/>
        <v>#DIV/0!</v>
      </c>
      <c r="G20" s="3076"/>
      <c r="H20" s="3076"/>
      <c r="I20" s="3076"/>
    </row>
    <row r="21" spans="1:9" ht="16.5">
      <c r="A21" s="3075" t="s">
        <v>2876</v>
      </c>
      <c r="B21" s="3076"/>
      <c r="C21" s="3076"/>
      <c r="D21" s="3076"/>
      <c r="E21" s="3072" t="e">
        <f t="shared" si="2"/>
        <v>#DIV/0!</v>
      </c>
      <c r="F21" s="3072" t="e">
        <f t="shared" si="3"/>
        <v>#DIV/0!</v>
      </c>
      <c r="G21" s="3076"/>
      <c r="H21" s="3076"/>
      <c r="I21" s="3076"/>
    </row>
    <row r="22" spans="1:9" ht="16.5">
      <c r="A22" s="3075" t="s">
        <v>2877</v>
      </c>
      <c r="B22" s="3076"/>
      <c r="C22" s="3076"/>
      <c r="D22" s="3076"/>
      <c r="E22" s="3072" t="e">
        <f t="shared" si="2"/>
        <v>#DIV/0!</v>
      </c>
      <c r="F22" s="3072" t="e">
        <f t="shared" si="3"/>
        <v>#DIV/0!</v>
      </c>
      <c r="G22" s="3076"/>
      <c r="H22" s="3076"/>
      <c r="I22" s="3076"/>
    </row>
    <row r="23" spans="1:9" ht="16.5">
      <c r="A23" s="3075" t="s">
        <v>2878</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6"/>
  </cols>
  <sheetData>
    <row r="1" spans="1:22" ht="21.75" customHeight="1" thickBot="1">
      <c r="A1" s="1773" t="s">
        <v>2059</v>
      </c>
      <c r="B1" s="1774"/>
      <c r="C1" s="1802" t="s">
        <v>2060</v>
      </c>
      <c r="D1" s="1803" t="s">
        <v>2997</v>
      </c>
      <c r="E1" s="1802" t="s">
        <v>2061</v>
      </c>
      <c r="F1" s="1804" t="s">
        <v>2998</v>
      </c>
      <c r="G1" s="310"/>
      <c r="H1" s="310"/>
      <c r="I1" s="310"/>
      <c r="J1" s="2026"/>
      <c r="K1" s="2026"/>
      <c r="L1" s="2026"/>
      <c r="M1" s="2026"/>
      <c r="N1" s="2026"/>
      <c r="O1" s="2026"/>
      <c r="P1" s="2026"/>
      <c r="Q1" s="2026"/>
      <c r="R1" s="2026"/>
      <c r="S1" s="2026"/>
      <c r="T1" s="2026"/>
      <c r="U1" s="2026"/>
      <c r="V1" s="2026"/>
    </row>
    <row r="2" spans="1:22" ht="21.75" customHeight="1" thickBot="1">
      <c r="A2" s="3336" t="str">
        <f>项目基本情况!K2</f>
        <v>出让国有建设用地使用权</v>
      </c>
      <c r="B2" s="3337"/>
      <c r="C2" s="3338"/>
      <c r="D2" s="3338"/>
      <c r="E2" s="3338"/>
      <c r="F2" s="3338"/>
      <c r="G2" s="3337"/>
      <c r="H2" s="3337"/>
      <c r="I2" s="3339"/>
      <c r="J2" s="2027"/>
      <c r="K2" s="2026"/>
      <c r="L2" s="2026"/>
      <c r="M2" s="2026"/>
      <c r="N2" s="2026"/>
      <c r="O2" s="2026"/>
      <c r="P2" s="2026"/>
      <c r="Q2" s="2026"/>
      <c r="R2" s="2026"/>
      <c r="S2" s="2026"/>
      <c r="T2" s="2026"/>
      <c r="U2" s="2026"/>
      <c r="V2" s="2026"/>
    </row>
    <row r="3" spans="1:22" ht="14.25">
      <c r="A3" s="3347" t="s">
        <v>298</v>
      </c>
      <c r="B3" s="3348"/>
      <c r="C3" s="3348"/>
      <c r="D3" s="3348"/>
      <c r="E3" s="3348"/>
      <c r="F3" s="3348"/>
      <c r="G3" s="3348"/>
      <c r="H3" s="3348"/>
      <c r="I3" s="3348"/>
      <c r="J3" s="2027"/>
      <c r="K3" s="2026"/>
      <c r="L3" s="2026"/>
      <c r="M3" s="2026"/>
      <c r="N3" s="2026"/>
      <c r="O3" s="2026"/>
      <c r="P3" s="2026"/>
      <c r="Q3" s="2026"/>
      <c r="R3" s="2026"/>
      <c r="S3" s="2026"/>
      <c r="T3" s="2026"/>
      <c r="U3" s="2026"/>
      <c r="V3" s="2026"/>
    </row>
    <row r="4" spans="1:22" ht="14.25">
      <c r="A4" s="257" t="s">
        <v>299</v>
      </c>
      <c r="B4" s="258" t="s">
        <v>300</v>
      </c>
      <c r="C4" s="259" t="s">
        <v>3001</v>
      </c>
      <c r="D4" s="259" t="s">
        <v>3002</v>
      </c>
      <c r="E4" s="3311" t="s">
        <v>301</v>
      </c>
      <c r="F4" s="3353"/>
      <c r="G4" s="3353"/>
      <c r="H4" s="3353"/>
      <c r="I4" s="3312"/>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0" t="s">
        <v>302</v>
      </c>
      <c r="B5" s="3341">
        <v>25</v>
      </c>
      <c r="C5" s="3349"/>
      <c r="D5" s="3352"/>
      <c r="E5" s="260" t="s">
        <v>303</v>
      </c>
      <c r="F5" s="261"/>
      <c r="G5" s="261"/>
      <c r="H5" s="261"/>
      <c r="I5" s="262"/>
      <c r="J5" s="2027"/>
      <c r="K5" s="2026"/>
      <c r="L5" s="2026"/>
      <c r="M5" s="2026"/>
      <c r="N5" s="2026"/>
      <c r="O5" s="2026"/>
      <c r="P5" s="2026"/>
      <c r="Q5" s="2026"/>
      <c r="R5" s="2026"/>
      <c r="S5" s="2026"/>
      <c r="T5" s="2026"/>
      <c r="U5" s="2026"/>
      <c r="V5" s="2026"/>
    </row>
    <row r="6" spans="1:22" ht="14.25">
      <c r="A6" s="3340"/>
      <c r="B6" s="3341"/>
      <c r="C6" s="3350"/>
      <c r="D6" s="3352"/>
      <c r="E6" s="260" t="s">
        <v>304</v>
      </c>
      <c r="F6" s="261"/>
      <c r="G6" s="261"/>
      <c r="H6" s="261"/>
      <c r="I6" s="262"/>
      <c r="J6" s="2027"/>
      <c r="K6" s="2026"/>
      <c r="L6" s="2026"/>
      <c r="M6" s="2026"/>
      <c r="N6" s="2026"/>
      <c r="O6" s="2026"/>
      <c r="P6" s="2026"/>
      <c r="Q6" s="2026"/>
      <c r="R6" s="2026"/>
      <c r="S6" s="2026"/>
      <c r="T6" s="2026"/>
      <c r="U6" s="2026"/>
      <c r="V6" s="2026"/>
    </row>
    <row r="7" spans="1:22" ht="14.25">
      <c r="A7" s="3340"/>
      <c r="B7" s="3341"/>
      <c r="C7" s="3351"/>
      <c r="D7" s="3352"/>
      <c r="E7" s="260" t="s">
        <v>305</v>
      </c>
      <c r="F7" s="261"/>
      <c r="G7" s="261"/>
      <c r="H7" s="261"/>
      <c r="I7" s="262"/>
      <c r="J7" s="2027"/>
      <c r="K7" s="2026"/>
      <c r="L7" s="2026"/>
      <c r="M7" s="2026"/>
      <c r="N7" s="2026"/>
      <c r="O7" s="2026"/>
      <c r="P7" s="2026"/>
      <c r="Q7" s="2026"/>
      <c r="R7" s="2026"/>
      <c r="S7" s="2026"/>
      <c r="T7" s="2026"/>
      <c r="U7" s="2026"/>
      <c r="V7" s="2026"/>
    </row>
    <row r="8" spans="1:22" ht="14.25">
      <c r="A8" s="3340" t="s">
        <v>306</v>
      </c>
      <c r="B8" s="3341">
        <v>15</v>
      </c>
      <c r="C8" s="3349"/>
      <c r="D8" s="3352"/>
      <c r="E8" s="260" t="s">
        <v>307</v>
      </c>
      <c r="F8" s="261"/>
      <c r="G8" s="261"/>
      <c r="H8" s="261"/>
      <c r="I8" s="262"/>
      <c r="J8" s="2027"/>
      <c r="K8" s="2026"/>
      <c r="L8" s="2026"/>
      <c r="M8" s="2026"/>
      <c r="N8" s="2026"/>
      <c r="O8" s="2026"/>
      <c r="P8" s="2026"/>
      <c r="Q8" s="2026"/>
      <c r="R8" s="2026"/>
      <c r="S8" s="2026"/>
      <c r="T8" s="2026"/>
      <c r="U8" s="2026"/>
      <c r="V8" s="2026"/>
    </row>
    <row r="9" spans="1:22" ht="14.25">
      <c r="A9" s="3340"/>
      <c r="B9" s="3341"/>
      <c r="C9" s="3351"/>
      <c r="D9" s="3352"/>
      <c r="E9" s="260" t="s">
        <v>308</v>
      </c>
      <c r="F9" s="261"/>
      <c r="G9" s="261"/>
      <c r="H9" s="261"/>
      <c r="I9" s="262"/>
      <c r="J9" s="2027"/>
      <c r="K9" s="2026"/>
      <c r="L9" s="2026"/>
      <c r="M9" s="2026"/>
      <c r="N9" s="2026"/>
      <c r="O9" s="2026"/>
      <c r="P9" s="2026"/>
      <c r="Q9" s="2026"/>
      <c r="R9" s="2026"/>
      <c r="S9" s="2026"/>
      <c r="T9" s="2026"/>
      <c r="U9" s="2026"/>
      <c r="V9" s="2026"/>
    </row>
    <row r="10" spans="1:22" ht="14.25">
      <c r="A10" s="3340" t="s">
        <v>309</v>
      </c>
      <c r="B10" s="3341">
        <v>15</v>
      </c>
      <c r="C10" s="3349"/>
      <c r="D10" s="3352"/>
      <c r="E10" s="260" t="s">
        <v>310</v>
      </c>
      <c r="F10" s="261"/>
      <c r="G10" s="261"/>
      <c r="H10" s="261"/>
      <c r="I10" s="262"/>
      <c r="J10" s="2027"/>
      <c r="K10" s="2026"/>
      <c r="L10" s="2026"/>
      <c r="M10" s="2026"/>
      <c r="N10" s="2026"/>
      <c r="O10" s="2026"/>
      <c r="P10" s="2026"/>
      <c r="Q10" s="2026"/>
      <c r="R10" s="2026"/>
      <c r="S10" s="2026"/>
      <c r="T10" s="2026"/>
      <c r="U10" s="2026"/>
      <c r="V10" s="2026"/>
    </row>
    <row r="11" spans="1:22" ht="14.25">
      <c r="A11" s="3340"/>
      <c r="B11" s="3341"/>
      <c r="C11" s="3351"/>
      <c r="D11" s="3352"/>
      <c r="E11" s="260" t="s">
        <v>311</v>
      </c>
      <c r="F11" s="261"/>
      <c r="G11" s="261"/>
      <c r="H11" s="261"/>
      <c r="I11" s="262"/>
      <c r="J11" s="2027"/>
      <c r="K11" s="2026"/>
      <c r="L11" s="2026"/>
      <c r="M11" s="2026"/>
      <c r="N11" s="2026"/>
      <c r="O11" s="2026"/>
      <c r="P11" s="2026"/>
      <c r="Q11" s="2026"/>
      <c r="R11" s="2026"/>
      <c r="S11" s="2026"/>
      <c r="T11" s="2026"/>
      <c r="U11" s="2026"/>
      <c r="V11" s="2026"/>
    </row>
    <row r="12" spans="1:22" ht="14.25">
      <c r="A12" s="3340" t="s">
        <v>312</v>
      </c>
      <c r="B12" s="3341">
        <v>15</v>
      </c>
      <c r="C12" s="3349"/>
      <c r="D12" s="3352"/>
      <c r="E12" s="260" t="s">
        <v>313</v>
      </c>
      <c r="F12" s="261"/>
      <c r="G12" s="261"/>
      <c r="H12" s="261"/>
      <c r="I12" s="262"/>
      <c r="J12" s="2027"/>
      <c r="K12" s="2026"/>
      <c r="L12" s="2026"/>
      <c r="M12" s="2026"/>
      <c r="N12" s="2026"/>
      <c r="O12" s="2026"/>
      <c r="P12" s="2026"/>
      <c r="Q12" s="2026"/>
      <c r="R12" s="2026"/>
      <c r="S12" s="2026"/>
      <c r="T12" s="2026"/>
      <c r="U12" s="2026"/>
      <c r="V12" s="2026"/>
    </row>
    <row r="13" spans="1:22" ht="14.25">
      <c r="A13" s="3340"/>
      <c r="B13" s="3341"/>
      <c r="C13" s="3351"/>
      <c r="D13" s="3352"/>
      <c r="E13" s="260" t="s">
        <v>314</v>
      </c>
      <c r="F13" s="261"/>
      <c r="G13" s="261"/>
      <c r="H13" s="261"/>
      <c r="I13" s="262"/>
      <c r="J13" s="2027"/>
      <c r="K13" s="2026"/>
      <c r="L13" s="2026"/>
      <c r="M13" s="2026"/>
      <c r="N13" s="2026"/>
      <c r="O13" s="2026"/>
      <c r="P13" s="2026"/>
      <c r="Q13" s="2026"/>
      <c r="R13" s="2026"/>
      <c r="S13" s="2026"/>
      <c r="T13" s="2026"/>
      <c r="U13" s="2026"/>
      <c r="V13" s="2026"/>
    </row>
    <row r="14" spans="1:22" ht="14.25">
      <c r="A14" s="3340" t="s">
        <v>315</v>
      </c>
      <c r="B14" s="3341">
        <v>30</v>
      </c>
      <c r="C14" s="3349">
        <v>6</v>
      </c>
      <c r="D14" s="3352">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40"/>
      <c r="B15" s="3341"/>
      <c r="C15" s="3350"/>
      <c r="D15" s="3352"/>
      <c r="E15" s="260" t="s">
        <v>317</v>
      </c>
      <c r="F15" s="261"/>
      <c r="G15" s="261"/>
      <c r="H15" s="261"/>
      <c r="I15" s="262"/>
      <c r="J15" s="2027"/>
      <c r="K15" s="2026"/>
      <c r="L15" s="2026"/>
      <c r="M15" s="2026"/>
      <c r="N15" s="2026"/>
      <c r="O15" s="2026"/>
      <c r="P15" s="2026"/>
      <c r="Q15" s="2026"/>
      <c r="R15" s="2026"/>
      <c r="S15" s="2026"/>
      <c r="T15" s="2026"/>
      <c r="U15" s="2026"/>
      <c r="V15" s="2026"/>
    </row>
    <row r="16" spans="1:22" ht="14.25">
      <c r="A16" s="3340"/>
      <c r="B16" s="3341"/>
      <c r="C16" s="3351"/>
      <c r="D16" s="3352"/>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309827</v>
      </c>
      <c r="D19" s="270">
        <f ca="1">SUMIF(INDIRECT("'"&amp;D4&amp;"'"&amp;"!A:A"),结果表!B19,INDIRECT("'"&amp;D4&amp;"'"&amp;"!B:B"))</f>
        <v>208112</v>
      </c>
      <c r="E19" s="267" t="s">
        <v>323</v>
      </c>
      <c r="F19" s="268" t="s">
        <v>322</v>
      </c>
      <c r="G19" s="271">
        <f ca="1">ROUND(C19*$C$18+D19*$D$18,0)</f>
        <v>269141</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22710</v>
      </c>
      <c r="D20" s="276">
        <f ca="1">SUMIF(INDIRECT("'"&amp;D4&amp;"'"&amp;"!A:A"),结果表!B20,INDIRECT("'"&amp;D4&amp;"'"&amp;"!B:B"))</f>
        <v>15254</v>
      </c>
      <c r="E20" s="273"/>
      <c r="F20" s="274" t="s">
        <v>325</v>
      </c>
      <c r="G20" s="277">
        <f ca="1">ROUND(C20*$C$18+D20*$D$18,0)</f>
        <v>19728</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82890</v>
      </c>
      <c r="D21" s="151">
        <f ca="1">SUMIF(INDIRECT("'"&amp;D4&amp;"'"&amp;"!A:A"),结果表!B21,INDIRECT("'"&amp;D4&amp;"'"&amp;"!B:B"))</f>
        <v>55678</v>
      </c>
      <c r="E21" s="273"/>
      <c r="F21" s="279" t="s">
        <v>327</v>
      </c>
      <c r="G21" s="281">
        <f ca="1">ROUND(C21*$C$18+D21*$D$18,0)</f>
        <v>72005</v>
      </c>
      <c r="H21" s="1247" t="s">
        <v>326</v>
      </c>
      <c r="I21" s="310"/>
      <c r="J21" s="2026"/>
      <c r="K21" s="2026"/>
      <c r="L21" s="2026"/>
      <c r="M21" s="2026"/>
      <c r="N21" s="2026"/>
      <c r="O21" s="2026"/>
      <c r="P21" s="2026"/>
      <c r="Q21" s="2026"/>
      <c r="R21" s="2026"/>
      <c r="S21" s="2026"/>
      <c r="T21" s="2026"/>
      <c r="U21" s="2026"/>
      <c r="V21" s="2026"/>
    </row>
    <row r="22" spans="1:26" ht="15.75" thickBot="1">
      <c r="A22" s="126" t="s">
        <v>328</v>
      </c>
      <c r="B22" s="1248"/>
      <c r="C22" s="1249"/>
      <c r="D22" s="282">
        <f ca="1">IF(C19&lt;D19,D19/C19-1,C19/D19-1)</f>
        <v>0.4887512493272852</v>
      </c>
      <c r="E22" s="283"/>
      <c r="F22" s="284"/>
      <c r="G22" s="285">
        <f ca="1">ROUND(G19/('数据-汇总表'!D3/666.67),0)</f>
        <v>4800</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13"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5"/>
      <c r="B25" s="1317" t="s">
        <v>331</v>
      </c>
      <c r="C25" s="289">
        <f>IF(B30=0,0,C30)</f>
        <v>0</v>
      </c>
      <c r="D25" s="290"/>
      <c r="E25" s="310"/>
      <c r="F25" s="310"/>
      <c r="G25" s="310"/>
      <c r="H25" s="310"/>
      <c r="I25" s="310"/>
      <c r="J25" s="2026"/>
      <c r="K25" s="1251" t="str">
        <f ca="1">项目基本情况!B16&amp;"国有建设用地使用权价格："&amp;O38&amp;"万元"</f>
        <v>出让国有建设用地使用权价格：269141万元</v>
      </c>
      <c r="L25" s="1252"/>
      <c r="M25" s="1252"/>
      <c r="N25" s="1252"/>
      <c r="O25" s="1253"/>
      <c r="P25" s="2026"/>
      <c r="Q25" s="2026"/>
      <c r="R25" s="2026"/>
      <c r="S25" s="2026"/>
      <c r="T25" s="2026"/>
      <c r="U25" s="2026"/>
      <c r="V25" s="2026"/>
    </row>
    <row r="26" spans="1:26" s="1250" customFormat="1" ht="18">
      <c r="A26" s="292" t="s">
        <v>332</v>
      </c>
      <c r="B26" s="293" t="s">
        <v>333</v>
      </c>
      <c r="C26" s="293" t="s">
        <v>334</v>
      </c>
      <c r="D26" s="294" t="s">
        <v>335</v>
      </c>
      <c r="E26" s="310"/>
      <c r="F26" s="310"/>
      <c r="G26" s="310"/>
      <c r="H26" s="310"/>
      <c r="I26" s="310"/>
      <c r="J26" s="2026"/>
      <c r="K26" s="1254" t="str">
        <f ca="1">"大写金额：人民币"&amp;NUMBERSTRING(INT(O38*10000),2)&amp;"元整"</f>
        <v>大写金额：人民币贰拾陆亿玖仟壹佰肆拾壹万元整</v>
      </c>
      <c r="L26" s="1248"/>
      <c r="M26" s="1248"/>
      <c r="N26" s="1248"/>
      <c r="O26" s="1247"/>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4" t="str">
        <f ca="1">"单位面积地价："&amp;M38&amp;"元/平方米"</f>
        <v>单位面积地价：72005元/平方米</v>
      </c>
      <c r="L27" s="1248"/>
      <c r="M27" s="1248"/>
      <c r="N27" s="1248"/>
      <c r="O27" s="1247"/>
      <c r="P27" s="2026"/>
      <c r="Q27" s="2026"/>
      <c r="R27" s="2026"/>
      <c r="S27" s="2026"/>
      <c r="T27" s="2026"/>
      <c r="U27" s="2026"/>
      <c r="V27" s="2026"/>
    </row>
    <row r="28" spans="1:26" ht="18.75" customHeight="1">
      <c r="A28" s="292"/>
      <c r="B28" s="293"/>
      <c r="C28" s="293"/>
      <c r="D28" s="294"/>
      <c r="E28" s="310"/>
      <c r="F28" s="310"/>
      <c r="G28" s="310"/>
      <c r="H28" s="310"/>
      <c r="I28" s="310"/>
      <c r="J28" s="2026"/>
      <c r="K28" s="1254" t="str">
        <f ca="1">"楼面地价："&amp;N38&amp;"元/平方米"</f>
        <v>楼面地价：19727元/平方米</v>
      </c>
      <c r="L28" s="1248"/>
      <c r="M28" s="1248"/>
      <c r="N28" s="1248"/>
      <c r="O28" s="1247"/>
      <c r="P28" s="2026"/>
      <c r="V28" s="2026"/>
    </row>
    <row r="29" spans="1:26" ht="18">
      <c r="A29" s="292"/>
      <c r="B29" s="293"/>
      <c r="C29" s="293"/>
      <c r="D29" s="294"/>
      <c r="E29" s="310"/>
      <c r="F29" s="310"/>
      <c r="G29" s="310"/>
      <c r="H29" s="310"/>
      <c r="I29" s="310"/>
      <c r="J29" s="2026"/>
      <c r="K29" s="1254" t="str">
        <f>IF(OR(项目基本情况!E8="抵押价格",项目基本情况!E8="已注销及未注销"),"抵押价格："&amp;O39&amp;"万元","——")</f>
        <v>——</v>
      </c>
      <c r="L29" s="1248"/>
      <c r="M29" s="1248"/>
      <c r="N29" s="1248"/>
      <c r="O29" s="1247"/>
      <c r="P29" s="2026"/>
      <c r="V29" s="2026"/>
    </row>
    <row r="30" spans="1:26" ht="18.75" thickBot="1">
      <c r="A30" s="3162" t="s">
        <v>336</v>
      </c>
      <c r="B30" s="308"/>
      <c r="C30" s="308"/>
      <c r="D30" s="309"/>
      <c r="E30" s="3163" t="s">
        <v>2983</v>
      </c>
      <c r="F30" s="310"/>
      <c r="G30" s="310"/>
      <c r="H30" s="310"/>
      <c r="I30" s="310"/>
      <c r="J30" s="2026"/>
      <c r="K30" s="1254" t="str">
        <f>IF(K29="——","——","大写金额：人民币"&amp;NUMBERSTRING(INT(O39*10000),2)&amp;"元整")</f>
        <v>——</v>
      </c>
      <c r="L30" s="1248"/>
      <c r="M30" s="1248"/>
      <c r="N30" s="1248"/>
      <c r="O30" s="1247"/>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抵押担保权已注销时的抵押价格：——万元</v>
      </c>
      <c r="L31" s="2486"/>
      <c r="M31" s="2486"/>
      <c r="N31" s="2486"/>
      <c r="O31" s="2487"/>
      <c r="P31" s="2026"/>
      <c r="V31" s="2026"/>
    </row>
    <row r="32" spans="1:26" ht="18.75" thickBot="1">
      <c r="A32" s="267" t="s">
        <v>337</v>
      </c>
      <c r="B32" s="1378" t="s">
        <v>1690</v>
      </c>
      <c r="C32" s="1379">
        <f ca="1">G19-C24</f>
        <v>269141</v>
      </c>
      <c r="D32" s="1380" t="s">
        <v>1691</v>
      </c>
      <c r="E32" s="310"/>
      <c r="F32" s="310"/>
      <c r="G32" s="310"/>
      <c r="H32" s="310"/>
      <c r="I32" s="310"/>
      <c r="J32" s="2026"/>
      <c r="K32" s="2485" t="e">
        <f>IF(K31="——","——","大写金额：人民币"&amp;NUMBERSTRING(INT(O40*10000),2)&amp;"元整")</f>
        <v>#VALUE!</v>
      </c>
      <c r="L32" s="2488"/>
      <c r="M32" s="2488"/>
      <c r="N32" s="2488"/>
      <c r="O32" s="2489"/>
      <c r="P32" s="2026"/>
      <c r="V32" s="2026"/>
    </row>
    <row r="33" spans="1:26" ht="18.75" thickBot="1">
      <c r="A33" s="297" t="s">
        <v>340</v>
      </c>
      <c r="B33" s="1381" t="s">
        <v>1692</v>
      </c>
      <c r="C33" s="263">
        <f ca="1">ROUND(C32*10000/'数据-汇总表'!E3,0)</f>
        <v>19727</v>
      </c>
      <c r="D33" s="1382" t="s">
        <v>1693</v>
      </c>
      <c r="E33" s="3313" t="s">
        <v>338</v>
      </c>
      <c r="F33" s="295" t="s">
        <v>339</v>
      </c>
      <c r="G33" s="296"/>
      <c r="H33" s="976"/>
      <c r="I33" s="1255"/>
      <c r="J33" s="2026"/>
      <c r="K33" s="1254" t="str">
        <f>IF(项目基本情况!E9="——","——","抵押净值："&amp;C46&amp;"万元")</f>
        <v>抵押净值：——万元</v>
      </c>
      <c r="L33" s="1248"/>
      <c r="M33" s="1248"/>
      <c r="N33" s="1248"/>
      <c r="O33" s="1247"/>
      <c r="P33" s="2026"/>
      <c r="V33" s="2026"/>
    </row>
    <row r="34" spans="1:26" s="1250" customFormat="1" ht="18.75" thickBot="1">
      <c r="A34" s="299"/>
      <c r="B34" s="1383" t="s">
        <v>1694</v>
      </c>
      <c r="C34" s="263">
        <f ca="1">ROUND(C32*10000/'数据-汇总表'!D3,0)</f>
        <v>72005</v>
      </c>
      <c r="D34" s="1384" t="s">
        <v>1693</v>
      </c>
      <c r="E34" s="3314"/>
      <c r="F34" s="127" t="s">
        <v>341</v>
      </c>
      <c r="G34" s="298"/>
      <c r="H34" s="105"/>
      <c r="I34" s="310"/>
      <c r="J34" s="2026"/>
      <c r="K34" s="1257" t="e">
        <f>IF(K33="——","——","大写金额：人民币"&amp;NUMBERSTRING(INT(O41*10000),2)&amp;"元整")</f>
        <v>#VALUE!</v>
      </c>
      <c r="L34" s="1258"/>
      <c r="M34" s="1258"/>
      <c r="N34" s="1258"/>
      <c r="O34" s="1259"/>
      <c r="P34" s="2026"/>
      <c r="Q34" s="291"/>
      <c r="R34" s="291"/>
      <c r="S34" s="291"/>
      <c r="T34" s="291"/>
      <c r="U34" s="291"/>
      <c r="V34" s="2026"/>
      <c r="W34" s="291"/>
      <c r="X34" s="291"/>
      <c r="Y34" s="291"/>
      <c r="Z34" s="291"/>
    </row>
    <row r="35" spans="1:26" ht="15.75" thickBot="1">
      <c r="A35" s="283"/>
      <c r="B35" s="1385"/>
      <c r="C35" s="1386">
        <f ca="1">ROUND(C32/('数据-汇总表'!D3/666.67),0)</f>
        <v>4800</v>
      </c>
      <c r="D35" s="1387" t="s">
        <v>1695</v>
      </c>
      <c r="E35" s="3315"/>
      <c r="F35" s="300" t="s">
        <v>342</v>
      </c>
      <c r="G35" s="978"/>
      <c r="H35" s="977" t="s">
        <v>343</v>
      </c>
      <c r="I35" s="310"/>
      <c r="J35" s="2026"/>
      <c r="K35" s="3319" t="s">
        <v>350</v>
      </c>
      <c r="L35" s="3319" t="s">
        <v>351</v>
      </c>
      <c r="M35" s="1260" t="s">
        <v>352</v>
      </c>
      <c r="N35" s="3319" t="s">
        <v>353</v>
      </c>
      <c r="O35" s="3319" t="s">
        <v>354</v>
      </c>
      <c r="P35" s="2026"/>
      <c r="V35" s="2026"/>
    </row>
    <row r="36" spans="1:26" ht="16.5" customHeight="1">
      <c r="A36" s="302" t="s">
        <v>344</v>
      </c>
      <c r="B36" s="303" t="s">
        <v>333</v>
      </c>
      <c r="C36" s="304" t="s">
        <v>345</v>
      </c>
      <c r="D36" s="304" t="s">
        <v>346</v>
      </c>
      <c r="E36" s="305" t="s">
        <v>347</v>
      </c>
      <c r="F36" s="310"/>
      <c r="G36" s="310"/>
      <c r="H36" s="310"/>
      <c r="I36" s="310"/>
      <c r="J36" s="2028"/>
      <c r="K36" s="3320"/>
      <c r="L36" s="3320"/>
      <c r="M36" s="1262" t="s">
        <v>355</v>
      </c>
      <c r="N36" s="3320"/>
      <c r="O36" s="3320"/>
      <c r="P36" s="2026"/>
      <c r="V36" s="2026"/>
    </row>
    <row r="37" spans="1:26" ht="16.5" customHeight="1" thickBot="1">
      <c r="A37" s="1256" t="s">
        <v>348</v>
      </c>
      <c r="B37" s="306"/>
      <c r="C37" s="293"/>
      <c r="D37" s="293"/>
      <c r="E37" s="294"/>
      <c r="F37" s="310"/>
      <c r="G37" s="310"/>
      <c r="H37" s="310"/>
      <c r="I37" s="310"/>
      <c r="J37" s="2028"/>
      <c r="K37" s="3321"/>
      <c r="L37" s="3321"/>
      <c r="M37" s="1263"/>
      <c r="N37" s="3321"/>
      <c r="O37" s="3321"/>
      <c r="P37" s="2026"/>
      <c r="V37" s="2026"/>
    </row>
    <row r="38" spans="1:26" ht="16.5" customHeight="1" thickBot="1">
      <c r="A38" s="1256" t="s">
        <v>349</v>
      </c>
      <c r="B38" s="306"/>
      <c r="C38" s="293"/>
      <c r="D38" s="293"/>
      <c r="E38" s="294"/>
      <c r="F38" s="310"/>
      <c r="G38" s="310"/>
      <c r="H38" s="310"/>
      <c r="I38" s="310"/>
      <c r="J38" s="2028"/>
      <c r="K38" s="1264">
        <f>'数据-汇总表'!D3</f>
        <v>37378.1</v>
      </c>
      <c r="L38" s="1265">
        <f>'数据-汇总表'!E3</f>
        <v>136430.07</v>
      </c>
      <c r="M38" s="1265">
        <f ca="1">C34</f>
        <v>72005</v>
      </c>
      <c r="N38" s="1265">
        <f ca="1">C33</f>
        <v>19727</v>
      </c>
      <c r="O38" s="1266">
        <f ca="1">C32</f>
        <v>269141</v>
      </c>
      <c r="P38" s="2026"/>
      <c r="V38" s="2026"/>
    </row>
    <row r="39" spans="1:26" ht="16.5" customHeight="1" thickBot="1">
      <c r="A39" s="1261"/>
      <c r="B39" s="307"/>
      <c r="C39" s="308"/>
      <c r="D39" s="308"/>
      <c r="E39" s="309"/>
      <c r="F39" s="310"/>
      <c r="G39" s="310"/>
      <c r="H39" s="310"/>
      <c r="I39" s="310"/>
      <c r="J39" s="2028"/>
      <c r="K39" s="3296" t="str">
        <f>MID(A44,3,LEN(A44)-2)</f>
        <v/>
      </c>
      <c r="L39" s="3297"/>
      <c r="M39" s="3297"/>
      <c r="N39" s="3298"/>
      <c r="O39" s="1389" t="str">
        <f>C44</f>
        <v>——</v>
      </c>
      <c r="P39" s="2026"/>
      <c r="V39" s="2026"/>
    </row>
    <row r="40" spans="1:26" ht="19.5" thickBot="1">
      <c r="A40" s="104" t="s">
        <v>874</v>
      </c>
      <c r="B40" s="310"/>
      <c r="C40" s="310"/>
      <c r="D40" s="310"/>
      <c r="E40" s="310"/>
      <c r="F40" s="310"/>
      <c r="G40" s="310"/>
      <c r="H40" s="310"/>
      <c r="I40" s="310"/>
      <c r="J40" s="2028"/>
      <c r="K40" s="3296" t="str">
        <f t="shared" ref="K40:K41" si="0">MID(A45,3,LEN(A45)-2)</f>
        <v/>
      </c>
      <c r="L40" s="3297"/>
      <c r="M40" s="3297"/>
      <c r="N40" s="3298"/>
      <c r="O40" s="1389" t="str">
        <f>C45</f>
        <v>——</v>
      </c>
      <c r="P40" s="2026"/>
      <c r="V40" s="2026"/>
    </row>
    <row r="41" spans="1:26" ht="16.5" thickBot="1">
      <c r="A41" s="311" t="s">
        <v>356</v>
      </c>
      <c r="B41" s="312"/>
      <c r="C41" s="313" t="s">
        <v>357</v>
      </c>
      <c r="D41" s="314" t="s">
        <v>358</v>
      </c>
      <c r="E41" s="314" t="s">
        <v>359</v>
      </c>
      <c r="F41" s="315" t="s">
        <v>360</v>
      </c>
      <c r="G41" s="310"/>
      <c r="H41" s="310"/>
      <c r="I41" s="310"/>
      <c r="J41" s="2028"/>
      <c r="K41" s="3296" t="str">
        <f t="shared" si="0"/>
        <v/>
      </c>
      <c r="L41" s="3297"/>
      <c r="M41" s="3297"/>
      <c r="N41" s="3298"/>
      <c r="O41" s="1389" t="str">
        <f>C46</f>
        <v>——</v>
      </c>
      <c r="P41" s="2026"/>
      <c r="V41" s="2026"/>
    </row>
    <row r="42" spans="1:26" ht="29.25">
      <c r="A42" s="3356" t="s">
        <v>2071</v>
      </c>
      <c r="B42" s="3357"/>
      <c r="C42" s="263">
        <f ca="1">C32</f>
        <v>269141</v>
      </c>
      <c r="D42" s="316">
        <f ca="1">C33</f>
        <v>19727</v>
      </c>
      <c r="E42" s="316">
        <f ca="1">C34</f>
        <v>72005</v>
      </c>
      <c r="F42" s="317">
        <f ca="1">C35</f>
        <v>4800</v>
      </c>
      <c r="G42" s="310"/>
      <c r="H42" s="310"/>
      <c r="I42" s="318"/>
      <c r="J42" s="2028"/>
      <c r="K42" s="1267" t="s">
        <v>361</v>
      </c>
      <c r="L42" s="2045" t="s">
        <v>362</v>
      </c>
      <c r="M42" s="1268" t="s">
        <v>363</v>
      </c>
      <c r="N42" s="2046" t="s">
        <v>364</v>
      </c>
      <c r="O42" s="2047" t="s">
        <v>365</v>
      </c>
      <c r="P42" s="2026"/>
      <c r="V42" s="2026"/>
    </row>
    <row r="43" spans="1:26" ht="30">
      <c r="A43" s="3366" t="s">
        <v>2739</v>
      </c>
      <c r="B43" s="3367"/>
      <c r="C43" s="263">
        <f>IF(H33="正常操作",G33+G34+G35,G34+G35)</f>
        <v>0</v>
      </c>
      <c r="D43" s="316" t="s">
        <v>43</v>
      </c>
      <c r="E43" s="316" t="s">
        <v>44</v>
      </c>
      <c r="F43" s="317" t="s">
        <v>44</v>
      </c>
      <c r="G43" s="2890" t="s">
        <v>953</v>
      </c>
      <c r="H43" s="310"/>
      <c r="I43" s="318"/>
      <c r="J43" s="2028"/>
      <c r="K43" s="1269" t="str">
        <f>C4</f>
        <v>比较法-住宅、综合</v>
      </c>
      <c r="L43" s="1270">
        <f ca="1">IF(L42="估价结果/万元",C19,C20)</f>
        <v>309827</v>
      </c>
      <c r="M43" s="1271">
        <f>C18</f>
        <v>0.6</v>
      </c>
      <c r="N43" s="1272">
        <f ca="1">IF(N42="测算结果/万元",G19,G20)</f>
        <v>269141</v>
      </c>
      <c r="O43" s="1273">
        <f ca="1">IF(O42="最终结果/万元",C32,C33)</f>
        <v>269141</v>
      </c>
      <c r="P43" s="2026"/>
      <c r="V43" s="2026"/>
    </row>
    <row r="44" spans="1:26" ht="30.75" thickBot="1">
      <c r="A44" s="3356" t="str">
        <f>IF(OR(项目基本情况!E8="抵押价格",项目基本情况!E8="已注销及未注销"),"3.抵押价格","——")</f>
        <v>——</v>
      </c>
      <c r="B44" s="3357"/>
      <c r="C44" s="263" t="str">
        <f>IF(A44="——","——",C42-C43)</f>
        <v>——</v>
      </c>
      <c r="D44" s="316" t="e">
        <f>ROUND(C44*10000/'数据-汇总表'!E3,0)</f>
        <v>#VALUE!</v>
      </c>
      <c r="E44" s="316" t="e">
        <f>ROUND(C44*10000/'数据-汇总表'!D3,0)</f>
        <v>#VALUE!</v>
      </c>
      <c r="F44" s="317" t="e">
        <f>ROUND(C44/('数据-汇总表'!D3/666.67),0)</f>
        <v>#VALUE!</v>
      </c>
      <c r="G44" s="310"/>
      <c r="H44" s="310"/>
      <c r="I44" s="318"/>
      <c r="J44" s="2028"/>
      <c r="K44" s="1274" t="str">
        <f>D4</f>
        <v>剩余法-待开发</v>
      </c>
      <c r="L44" s="1275">
        <f ca="1">IF(L42="估价结果/万元",D19,D20)</f>
        <v>208112</v>
      </c>
      <c r="M44" s="1276">
        <f>D18</f>
        <v>0.4</v>
      </c>
      <c r="N44" s="1277"/>
      <c r="O44" s="1278"/>
      <c r="P44" s="2026"/>
      <c r="V44" s="2026"/>
    </row>
    <row r="45" spans="1:26" ht="15">
      <c r="A45" s="3361" t="str">
        <f>IF(项目基本情况!E8="已注销及未注销","4.抵押担保权已注销时的抵押价格",IF(项目基本情况!E8="已注销","3.抵押担保权已注销时的抵押价格","——"))</f>
        <v>——</v>
      </c>
      <c r="B45" s="3362"/>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8" t="str">
        <f>IF(项目基本情况!E9="抵押净值",IF(A45="——","4.抵押净值","5.抵押净值"),"——")</f>
        <v>——</v>
      </c>
      <c r="B46" s="3359"/>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79"/>
      <c r="C47" s="321" t="s">
        <v>367</v>
      </c>
      <c r="D47" s="322"/>
      <c r="E47" s="322"/>
      <c r="F47" s="3196" t="s">
        <v>3066</v>
      </c>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186" t="s">
        <v>3057</v>
      </c>
      <c r="C48" s="327">
        <f>6817620000/((37378.1+36257.9+62872)*3.65)</f>
        <v>13683.015617329467</v>
      </c>
      <c r="D48" s="322"/>
      <c r="E48" s="322" t="s">
        <v>3062</v>
      </c>
      <c r="F48" s="322">
        <f ca="1">G19</f>
        <v>269141</v>
      </c>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t="s">
        <v>3063</v>
      </c>
      <c r="F49" s="322" t="e">
        <f>#REF!</f>
        <v>#REF!</v>
      </c>
      <c r="G49" s="322"/>
      <c r="H49" s="328"/>
      <c r="I49" s="329"/>
      <c r="J49" s="2029"/>
      <c r="K49" s="2026"/>
      <c r="L49" s="2026"/>
      <c r="M49" s="2026"/>
      <c r="N49" s="2026"/>
      <c r="O49" s="2026"/>
      <c r="P49" s="2026"/>
      <c r="Q49" s="2026"/>
      <c r="R49" s="2026"/>
      <c r="S49" s="2026"/>
      <c r="T49" s="2026"/>
      <c r="U49" s="2026"/>
      <c r="V49" s="2026"/>
    </row>
    <row r="50" spans="1:22" ht="12.75">
      <c r="A50" s="326">
        <v>3</v>
      </c>
      <c r="B50" s="3186" t="s">
        <v>3069</v>
      </c>
      <c r="C50" s="327" t="e">
        <f ca="1">ROUND(F51/((37378.1+36257.9+62872)*3.65)*10000,0)</f>
        <v>#REF!</v>
      </c>
      <c r="D50" s="322"/>
      <c r="E50" s="322" t="s">
        <v>3064</v>
      </c>
      <c r="F50" s="322" t="e">
        <f>#REF!</f>
        <v>#REF!</v>
      </c>
      <c r="G50" s="3196" t="s">
        <v>3068</v>
      </c>
      <c r="H50" s="3200">
        <v>681762</v>
      </c>
      <c r="I50" s="3201" t="e">
        <f ca="1">F51-H50</f>
        <v>#REF!</v>
      </c>
      <c r="J50" s="2029"/>
      <c r="K50" s="2026"/>
      <c r="L50" s="2026"/>
      <c r="M50" s="2026"/>
      <c r="N50" s="2026"/>
      <c r="O50" s="2026"/>
      <c r="P50" s="2026"/>
      <c r="Q50" s="2026"/>
      <c r="R50" s="2026"/>
      <c r="S50" s="2026"/>
      <c r="T50" s="2026"/>
      <c r="U50" s="2026"/>
      <c r="V50" s="2026"/>
    </row>
    <row r="51" spans="1:22" ht="12.75">
      <c r="A51" s="330"/>
      <c r="B51" s="331"/>
      <c r="C51" s="331"/>
      <c r="D51" s="332"/>
      <c r="E51" s="3195" t="s">
        <v>3065</v>
      </c>
      <c r="F51" s="3197" t="e">
        <f ca="1">SUM(F48:F50)</f>
        <v>#REF!</v>
      </c>
      <c r="G51" s="3195" t="s">
        <v>3067</v>
      </c>
      <c r="H51" s="3198">
        <v>729244.84710000001</v>
      </c>
      <c r="I51" s="3199" t="e">
        <f ca="1">F51-H51</f>
        <v>#REF!</v>
      </c>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3" t="s">
        <v>368</v>
      </c>
      <c r="G53" s="334"/>
      <c r="H53" s="334"/>
      <c r="I53" s="335" t="s">
        <v>369</v>
      </c>
      <c r="J53" s="2029"/>
      <c r="K53" s="2026"/>
      <c r="L53" s="2026"/>
      <c r="M53" s="2026"/>
      <c r="N53" s="2026"/>
      <c r="O53" s="2026"/>
      <c r="P53" s="2026"/>
      <c r="Q53" s="2026"/>
      <c r="R53" s="2026"/>
      <c r="S53" s="2026"/>
      <c r="T53" s="2026"/>
      <c r="U53" s="2026"/>
      <c r="V53" s="2026"/>
    </row>
    <row r="54" spans="1:22" ht="12.75">
      <c r="A54" s="256"/>
      <c r="B54" s="336"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t="s">
        <v>3056</v>
      </c>
      <c r="C55" s="256"/>
      <c r="D55" s="256" t="s">
        <v>3058</v>
      </c>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4" t="s">
        <v>3059</v>
      </c>
      <c r="C56" s="334"/>
      <c r="D56" s="334"/>
      <c r="E56" s="334"/>
      <c r="F56" s="334"/>
      <c r="G56" s="334"/>
      <c r="H56" s="334"/>
      <c r="I56" s="335" t="s">
        <v>371</v>
      </c>
      <c r="J56" s="2029"/>
      <c r="K56" s="2026"/>
      <c r="L56" s="2026"/>
      <c r="M56" s="2026"/>
      <c r="N56" s="2026"/>
      <c r="O56" s="2026"/>
      <c r="P56" s="2026"/>
      <c r="Q56" s="2026"/>
      <c r="R56" s="2026"/>
      <c r="S56" s="2026"/>
      <c r="T56" s="2026"/>
      <c r="U56" s="2026"/>
      <c r="V56" s="2026"/>
    </row>
    <row r="57" spans="1:22" ht="12.75">
      <c r="A57" s="256"/>
      <c r="B57" s="336"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6"/>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4"/>
      <c r="C59" s="334"/>
      <c r="D59" s="334"/>
      <c r="E59" s="334"/>
      <c r="F59" s="334"/>
      <c r="G59" s="334"/>
      <c r="H59" s="334"/>
      <c r="I59" s="335"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6"/>
      <c r="C61" s="337"/>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24" t="s">
        <v>374</v>
      </c>
      <c r="B63" s="3325"/>
      <c r="C63" s="3326"/>
      <c r="D63" s="338">
        <f ca="1">ROUND(C42*F63,0)</f>
        <v>161485</v>
      </c>
      <c r="E63" s="301" t="s">
        <v>375</v>
      </c>
      <c r="F63" s="339">
        <v>0.6</v>
      </c>
      <c r="G63" s="340" t="s">
        <v>376</v>
      </c>
      <c r="H63" s="310"/>
      <c r="I63" s="310"/>
      <c r="J63" s="2026"/>
      <c r="K63" s="2026"/>
      <c r="L63" s="2026"/>
      <c r="M63" s="2026"/>
      <c r="N63" s="2026"/>
      <c r="O63" s="2026"/>
      <c r="P63" s="310"/>
      <c r="Q63" s="2026"/>
      <c r="R63" s="2026"/>
      <c r="S63" s="2026"/>
      <c r="T63" s="2026"/>
      <c r="U63" s="2026"/>
      <c r="V63" s="2026"/>
    </row>
    <row r="64" spans="1:22" ht="14.25" customHeight="1">
      <c r="A64" s="3363" t="s">
        <v>378</v>
      </c>
      <c r="B64" s="3364"/>
      <c r="C64" s="3364"/>
      <c r="D64" s="3364"/>
      <c r="E64" s="3364"/>
      <c r="F64" s="3364"/>
      <c r="G64" s="3365"/>
      <c r="H64" s="1284"/>
      <c r="I64" s="944"/>
      <c r="J64" s="1988"/>
      <c r="K64" s="1558" t="s">
        <v>377</v>
      </c>
      <c r="L64" s="11"/>
      <c r="M64" s="11"/>
      <c r="N64" s="11"/>
      <c r="O64" s="11"/>
      <c r="P64" s="310"/>
      <c r="Q64" s="2026"/>
      <c r="R64" s="2026"/>
      <c r="S64" s="2026"/>
      <c r="T64" s="2026"/>
      <c r="U64" s="2026"/>
      <c r="V64" s="2026"/>
    </row>
    <row r="65" spans="1:22" ht="12" customHeight="1">
      <c r="A65" s="341" t="s">
        <v>380</v>
      </c>
      <c r="B65" s="342"/>
      <c r="C65" s="343"/>
      <c r="D65" s="344" t="s">
        <v>381</v>
      </c>
      <c r="E65" s="53" t="s">
        <v>382</v>
      </c>
      <c r="F65" s="345" t="s">
        <v>383</v>
      </c>
      <c r="G65" s="346" t="s">
        <v>384</v>
      </c>
      <c r="H65" s="1284"/>
      <c r="I65" s="944"/>
      <c r="J65" s="1988"/>
      <c r="K65" s="1285"/>
      <c r="L65" s="1286"/>
      <c r="M65" s="1286"/>
      <c r="N65" s="1318" t="s">
        <v>379</v>
      </c>
      <c r="O65" s="1319"/>
      <c r="P65" s="1320"/>
      <c r="Q65" s="2026"/>
      <c r="R65" s="2026"/>
      <c r="S65" s="2026"/>
      <c r="T65" s="2026"/>
      <c r="U65" s="2026"/>
      <c r="V65" s="2026"/>
    </row>
    <row r="66" spans="1:22" ht="25.5">
      <c r="A66" s="3360" t="s">
        <v>386</v>
      </c>
      <c r="B66" s="3331"/>
      <c r="C66" s="3331"/>
      <c r="D66" s="260">
        <f ca="1">IF(H66="情况1",0,IF(H66="情况2",D70,IF(H66="情况3",D71,IF(H66="情况4",D72))))</f>
        <v>8613</v>
      </c>
      <c r="E66" s="989" t="str">
        <f>IF(H66="情况4","(销售额-原购置价)×税（费）率","销售额×税（费）率")</f>
        <v>销售额×税（费）率</v>
      </c>
      <c r="F66" s="347">
        <f>IF(H66="情况1","免征",'数据-取费表'!B41)</f>
        <v>5.6000000000000001E-2</v>
      </c>
      <c r="G66" s="348" t="s">
        <v>387</v>
      </c>
      <c r="H66" s="191" t="s">
        <v>388</v>
      </c>
      <c r="I66" s="1284"/>
      <c r="J66" s="2032"/>
      <c r="K66" s="1287">
        <v>1</v>
      </c>
      <c r="L66" s="3300" t="s">
        <v>385</v>
      </c>
      <c r="M66" s="3301"/>
      <c r="N66" s="2480"/>
      <c r="O66" s="2481"/>
      <c r="P66" s="2482"/>
      <c r="Q66" s="2026"/>
      <c r="R66" s="2026"/>
      <c r="S66" s="2026"/>
      <c r="T66" s="2026"/>
      <c r="U66" s="2026"/>
      <c r="V66" s="2026"/>
    </row>
    <row r="67" spans="1:22" ht="25.5" customHeight="1">
      <c r="A67" s="349" t="s">
        <v>390</v>
      </c>
      <c r="B67" s="3343" t="s">
        <v>391</v>
      </c>
      <c r="C67" s="3343"/>
      <c r="D67" s="350">
        <v>0</v>
      </c>
      <c r="E67" s="41" t="s">
        <v>392</v>
      </c>
      <c r="F67" s="62" t="s">
        <v>21</v>
      </c>
      <c r="G67" s="3327"/>
      <c r="H67" s="310"/>
      <c r="I67" s="1288"/>
      <c r="J67" s="2033"/>
      <c r="K67" s="1974">
        <v>2</v>
      </c>
      <c r="L67" s="3299" t="s">
        <v>389</v>
      </c>
      <c r="M67" s="3299"/>
      <c r="N67" s="1321">
        <f>'数据-取费表'!B2</f>
        <v>43123</v>
      </c>
      <c r="O67" s="1321"/>
      <c r="P67" s="1321"/>
      <c r="Q67" s="2026"/>
      <c r="R67" s="2026"/>
      <c r="S67" s="2026"/>
      <c r="T67" s="2026"/>
      <c r="U67" s="2026"/>
      <c r="V67" s="2026"/>
    </row>
    <row r="68" spans="1:22" ht="25.5" customHeight="1">
      <c r="A68" s="351"/>
      <c r="B68" s="3343" t="s">
        <v>394</v>
      </c>
      <c r="C68" s="3343"/>
      <c r="D68" s="352"/>
      <c r="E68" s="77"/>
      <c r="F68" s="353"/>
      <c r="G68" s="3328"/>
      <c r="H68" s="310"/>
      <c r="I68" s="1288"/>
      <c r="J68" s="2033"/>
      <c r="K68" s="1974">
        <v>3</v>
      </c>
      <c r="L68" s="3299" t="s">
        <v>393</v>
      </c>
      <c r="M68" s="3299"/>
      <c r="N68" s="1289">
        <f ca="1">C42</f>
        <v>269141</v>
      </c>
      <c r="O68" s="1289"/>
      <c r="P68" s="1289"/>
      <c r="Q68" s="2026"/>
      <c r="R68" s="2026"/>
      <c r="S68" s="2026"/>
      <c r="T68" s="2026"/>
      <c r="U68" s="2026"/>
      <c r="V68" s="2026"/>
    </row>
    <row r="69" spans="1:22" ht="12" customHeight="1">
      <c r="A69" s="354"/>
      <c r="B69" s="3343" t="s">
        <v>395</v>
      </c>
      <c r="C69" s="3343"/>
      <c r="D69" s="355"/>
      <c r="E69" s="73"/>
      <c r="F69" s="353"/>
      <c r="G69" s="3329"/>
      <c r="H69" s="310"/>
      <c r="I69" s="1288"/>
      <c r="J69" s="2033"/>
      <c r="K69" s="1290">
        <v>4</v>
      </c>
      <c r="L69" s="3305" t="s">
        <v>2892</v>
      </c>
      <c r="M69" s="3306"/>
      <c r="N69" s="1291" t="str">
        <f>C44</f>
        <v>——</v>
      </c>
      <c r="O69" s="1291"/>
      <c r="P69" s="1291"/>
      <c r="Q69" s="2026"/>
      <c r="R69" s="2026"/>
      <c r="S69" s="2026"/>
      <c r="T69" s="2026"/>
      <c r="U69" s="2026"/>
      <c r="V69" s="2026"/>
    </row>
    <row r="70" spans="1:22" ht="24" customHeight="1">
      <c r="A70" s="356" t="s">
        <v>396</v>
      </c>
      <c r="B70" s="3343" t="s">
        <v>397</v>
      </c>
      <c r="C70" s="3343"/>
      <c r="D70" s="355">
        <f ca="1">ROUND(D63*'数据-取费表'!B41/(1+'数据-取费表'!C42),0)</f>
        <v>8613</v>
      </c>
      <c r="E70" s="17" t="s">
        <v>398</v>
      </c>
      <c r="F70" s="357">
        <f>'数据-取费表'!B41</f>
        <v>5.6000000000000001E-2</v>
      </c>
      <c r="G70" s="358"/>
      <c r="H70" s="310"/>
      <c r="I70" s="1288"/>
      <c r="J70" s="2033"/>
      <c r="K70" s="3085"/>
      <c r="L70" s="3086"/>
      <c r="M70" s="3086"/>
      <c r="N70" s="3087" t="s">
        <v>2897</v>
      </c>
      <c r="O70" s="3086"/>
      <c r="P70" s="3088"/>
      <c r="Q70" s="2026"/>
      <c r="R70" s="2026"/>
      <c r="S70" s="2026"/>
      <c r="T70" s="2026"/>
      <c r="U70" s="2026"/>
      <c r="V70" s="2026"/>
    </row>
    <row r="71" spans="1:22" ht="12" customHeight="1">
      <c r="A71" s="356" t="s">
        <v>404</v>
      </c>
      <c r="B71" s="3342" t="s">
        <v>405</v>
      </c>
      <c r="C71" s="3354"/>
      <c r="D71" s="355">
        <f ca="1">ROUND(D63*'数据-取费表'!B41/(1+'数据-取费表'!C42),0)</f>
        <v>8613</v>
      </c>
      <c r="E71" s="17" t="s">
        <v>398</v>
      </c>
      <c r="F71" s="357">
        <f>'数据-取费表'!B41</f>
        <v>5.6000000000000001E-2</v>
      </c>
      <c r="G71" s="358"/>
      <c r="H71" s="310"/>
      <c r="I71" s="1288"/>
      <c r="J71" s="2033"/>
      <c r="K71" s="3084" t="s">
        <v>399</v>
      </c>
      <c r="L71" s="3307" t="s">
        <v>400</v>
      </c>
      <c r="M71" s="3307"/>
      <c r="N71" s="3084" t="s">
        <v>401</v>
      </c>
      <c r="O71" s="3084" t="s">
        <v>402</v>
      </c>
      <c r="P71" s="3084" t="s">
        <v>403</v>
      </c>
      <c r="Q71" s="2026"/>
      <c r="R71" s="2026"/>
      <c r="S71" s="2026"/>
      <c r="T71" s="2026"/>
      <c r="U71" s="2026"/>
      <c r="V71" s="2026"/>
    </row>
    <row r="72" spans="1:22" ht="12" customHeight="1">
      <c r="A72" s="356" t="s">
        <v>407</v>
      </c>
      <c r="B72" s="3342" t="s">
        <v>408</v>
      </c>
      <c r="C72" s="3354"/>
      <c r="D72" s="355">
        <f ca="1">C86</f>
        <v>8501</v>
      </c>
      <c r="E72" s="73" t="s">
        <v>409</v>
      </c>
      <c r="F72" s="357">
        <f>'数据-取费表'!B41</f>
        <v>5.6000000000000001E-2</v>
      </c>
      <c r="G72" s="358"/>
      <c r="H72" s="1294"/>
      <c r="I72" s="1288"/>
      <c r="J72" s="2033"/>
      <c r="K72" s="1974">
        <v>1</v>
      </c>
      <c r="L72" s="3304" t="s">
        <v>406</v>
      </c>
      <c r="M72" s="3304"/>
      <c r="N72" s="1292">
        <f ca="1">D66</f>
        <v>8613</v>
      </c>
      <c r="O72" s="1857" t="str">
        <f>E66</f>
        <v>销售额×税（费）率</v>
      </c>
      <c r="P72" s="1293">
        <f>F66</f>
        <v>5.6000000000000001E-2</v>
      </c>
      <c r="Q72" s="2026"/>
      <c r="R72" s="2026"/>
      <c r="S72" s="2026"/>
      <c r="T72" s="2026"/>
      <c r="U72" s="2026"/>
      <c r="V72" s="2026"/>
    </row>
    <row r="73" spans="1:22" ht="24" customHeight="1">
      <c r="A73" s="3330" t="s">
        <v>411</v>
      </c>
      <c r="B73" s="3331"/>
      <c r="C73" s="3331"/>
      <c r="D73" s="359">
        <f>IF(H73="个人住宅",0,ROUND(D63*I73,0))</f>
        <v>0</v>
      </c>
      <c r="E73" s="17" t="s">
        <v>412</v>
      </c>
      <c r="F73" s="357" t="str">
        <f>IF(H73="正常",I73,"免征")</f>
        <v>免征</v>
      </c>
      <c r="G73" s="358"/>
      <c r="H73" s="191" t="s">
        <v>2461</v>
      </c>
      <c r="I73" s="357">
        <f>'数据-取费表'!B49</f>
        <v>5.0000000000000001E-4</v>
      </c>
      <c r="J73" s="2033"/>
      <c r="K73" s="1974">
        <v>2</v>
      </c>
      <c r="L73" s="3304" t="s">
        <v>410</v>
      </c>
      <c r="M73" s="3304"/>
      <c r="N73" s="1292">
        <f t="shared" ref="N73:P74" si="1">D73</f>
        <v>0</v>
      </c>
      <c r="O73" s="1857" t="str">
        <f t="shared" si="1"/>
        <v>销售额×税（费）率</v>
      </c>
      <c r="P73" s="1293" t="str">
        <f t="shared" si="1"/>
        <v>免征</v>
      </c>
      <c r="Q73" s="2026"/>
      <c r="R73" s="2026"/>
      <c r="S73" s="2026"/>
      <c r="T73" s="2026"/>
      <c r="U73" s="2026"/>
      <c r="V73" s="2026"/>
    </row>
    <row r="74" spans="1:22" ht="24.75">
      <c r="A74" s="3330" t="s">
        <v>415</v>
      </c>
      <c r="B74" s="3331"/>
      <c r="C74" s="3331"/>
      <c r="D74" s="359">
        <f ca="1">IF(H74="个人住宅",D75,D76)</f>
        <v>90745</v>
      </c>
      <c r="E74" s="17" t="s">
        <v>416</v>
      </c>
      <c r="F74" s="357" t="str">
        <f>IF(H74="正常",F76,"免征")</f>
        <v>——</v>
      </c>
      <c r="G74" s="979" t="s">
        <v>417</v>
      </c>
      <c r="H74" s="360" t="s">
        <v>413</v>
      </c>
      <c r="I74" s="42"/>
      <c r="J74" s="2033"/>
      <c r="K74" s="1974">
        <v>3</v>
      </c>
      <c r="L74" s="3304" t="s">
        <v>414</v>
      </c>
      <c r="M74" s="3304"/>
      <c r="N74" s="1292">
        <f t="shared" ca="1" si="1"/>
        <v>90745</v>
      </c>
      <c r="O74" s="1857" t="str">
        <f t="shared" si="1"/>
        <v>增值额×税（费）率</v>
      </c>
      <c r="P74" s="1295" t="str">
        <f t="shared" si="1"/>
        <v>——</v>
      </c>
      <c r="Q74" s="2026"/>
      <c r="R74" s="2026"/>
      <c r="S74" s="2026"/>
      <c r="T74" s="2026"/>
      <c r="U74" s="2026"/>
      <c r="V74" s="2026"/>
    </row>
    <row r="75" spans="1:22" ht="24">
      <c r="A75" s="356" t="s">
        <v>418</v>
      </c>
      <c r="B75" s="3311" t="s">
        <v>419</v>
      </c>
      <c r="C75" s="3312"/>
      <c r="D75" s="361">
        <v>0</v>
      </c>
      <c r="E75" s="41" t="s">
        <v>420</v>
      </c>
      <c r="F75" s="362"/>
      <c r="G75" s="358"/>
      <c r="H75" s="42"/>
      <c r="I75" s="42"/>
      <c r="J75" s="2033"/>
      <c r="K75" s="3077">
        <f>IF(H77="非个人房产","",4)</f>
        <v>4</v>
      </c>
      <c r="L75" s="3304" t="str">
        <f>IF(H77="非个人房产","——","个人所得税")</f>
        <v>个人所得税</v>
      </c>
      <c r="M75" s="3304"/>
      <c r="N75" s="1296">
        <f ca="1">D77</f>
        <v>1615</v>
      </c>
      <c r="O75" s="1870" t="str">
        <f>E77</f>
        <v>销售额×税（费）率</v>
      </c>
      <c r="P75" s="1297">
        <f>F77</f>
        <v>0.01</v>
      </c>
      <c r="Q75" s="2026"/>
      <c r="R75" s="2026"/>
      <c r="S75" s="2026"/>
      <c r="T75" s="2026"/>
      <c r="U75" s="2026"/>
      <c r="V75" s="2026"/>
    </row>
    <row r="76" spans="1:22" ht="24.75">
      <c r="A76" s="356" t="s">
        <v>396</v>
      </c>
      <c r="B76" s="3311" t="s">
        <v>422</v>
      </c>
      <c r="C76" s="3353"/>
      <c r="D76" s="359">
        <f ca="1">IF(H76="转让取得",C99,C115)</f>
        <v>90745</v>
      </c>
      <c r="E76" s="17" t="s">
        <v>423</v>
      </c>
      <c r="F76" s="53" t="s">
        <v>21</v>
      </c>
      <c r="G76" s="358"/>
      <c r="H76" s="360" t="s">
        <v>424</v>
      </c>
      <c r="I76" s="42"/>
      <c r="J76" s="2033"/>
      <c r="K76" s="3077" t="str">
        <f>IF(项目基本情况!K6="上海银行",IF(K75="",4,K75+1),"")</f>
        <v/>
      </c>
      <c r="L76" s="3292" t="str">
        <f>IF(项目基本情况!K6="上海银行","其他处置费用","")</f>
        <v/>
      </c>
      <c r="M76" s="3293"/>
      <c r="N76" s="1292" t="str">
        <f>IF(项目基本情况!K6="上海银行",N89,"")</f>
        <v/>
      </c>
      <c r="O76" s="3294" t="str">
        <f>IF(项目基本情况!K6="上海银行","包含处置中涉及的律师、诉讼、拍卖、评估等费用","")</f>
        <v/>
      </c>
      <c r="P76" s="3295"/>
      <c r="Q76" s="2026"/>
      <c r="R76" s="2026"/>
      <c r="S76" s="2026"/>
      <c r="T76" s="2026"/>
      <c r="U76" s="2026"/>
      <c r="V76" s="2026"/>
    </row>
    <row r="77" spans="1:22" ht="26.25" thickBot="1">
      <c r="A77" s="3322" t="s">
        <v>426</v>
      </c>
      <c r="B77" s="3323"/>
      <c r="C77" s="3323"/>
      <c r="D77" s="363">
        <f ca="1">IF(H77="非个人房产","——",IF(H77="个人住宅",0,ROUND(D63*I77,0)))</f>
        <v>1615</v>
      </c>
      <c r="E77" s="364" t="str">
        <f>IF(H77="非个人房产","——","销售额×税（费）率")</f>
        <v>销售额×税（费）率</v>
      </c>
      <c r="F77" s="365">
        <f>IF(H77="非个人房产","——",IF(H77="个人住宅","免征",I77))</f>
        <v>0.01</v>
      </c>
      <c r="G77" s="980" t="s">
        <v>417</v>
      </c>
      <c r="H77" s="360" t="s">
        <v>2893</v>
      </c>
      <c r="I77" s="366">
        <v>0.01</v>
      </c>
      <c r="J77" s="2033"/>
      <c r="K77" s="3318">
        <f>IF(AND(K75="",K76=""),4,IF(项目基本情况!K6="上海银行",K76+1,K75+1))</f>
        <v>5</v>
      </c>
      <c r="L77" s="3304" t="s">
        <v>2894</v>
      </c>
      <c r="M77" s="3083" t="s">
        <v>421</v>
      </c>
      <c r="N77" s="1298"/>
      <c r="O77" s="1299">
        <f ca="1">SUMIF(N72:N76,"&lt;9e307")</f>
        <v>100973</v>
      </c>
      <c r="P77" s="1300"/>
      <c r="Q77" s="3081" t="e">
        <f ca="1">O77/N69</f>
        <v>#VALUE!</v>
      </c>
      <c r="R77" s="2026"/>
      <c r="S77" s="2026"/>
      <c r="T77" s="2026"/>
      <c r="U77" s="2026"/>
      <c r="V77" s="2026"/>
    </row>
    <row r="78" spans="1:22" ht="12" customHeight="1">
      <c r="A78" s="1301"/>
      <c r="B78" s="310"/>
      <c r="C78" s="310"/>
      <c r="D78" s="310"/>
      <c r="E78" s="42"/>
      <c r="F78" s="42"/>
      <c r="G78" s="42"/>
      <c r="H78" s="999"/>
      <c r="I78" s="310"/>
      <c r="J78" s="2033"/>
      <c r="K78" s="3318"/>
      <c r="L78" s="3304"/>
      <c r="M78" s="3083" t="s">
        <v>425</v>
      </c>
      <c r="N78" s="1298"/>
      <c r="O78" s="1299" t="str">
        <f ca="1">NUMBERSTRING(INT(O77*10000),2)&amp;"元整"</f>
        <v>壹拾亿零玖佰柒拾叁万元整</v>
      </c>
      <c r="P78" s="1300"/>
      <c r="Q78" s="2026"/>
      <c r="R78" s="2026"/>
      <c r="S78" s="2026"/>
      <c r="T78" s="2026"/>
      <c r="U78" s="2026"/>
      <c r="V78" s="2026"/>
    </row>
    <row r="79" spans="1:22" ht="13.5" thickBot="1">
      <c r="A79" s="3308" t="s">
        <v>427</v>
      </c>
      <c r="B79" s="3308"/>
      <c r="C79" s="3308"/>
      <c r="D79" s="3308"/>
      <c r="E79" s="3308"/>
      <c r="F79" s="42"/>
      <c r="G79" s="42"/>
      <c r="H79" s="999"/>
      <c r="I79" s="310"/>
      <c r="J79" s="2033"/>
      <c r="K79" s="3302">
        <f>K77+1</f>
        <v>6</v>
      </c>
      <c r="L79" s="3304" t="s">
        <v>2895</v>
      </c>
      <c r="M79" s="3083" t="s">
        <v>421</v>
      </c>
      <c r="N79" s="1298"/>
      <c r="O79" s="1299" t="e">
        <f ca="1">N69-O77</f>
        <v>#VALUE!</v>
      </c>
      <c r="P79" s="1300"/>
      <c r="Q79" s="2026"/>
      <c r="R79" s="2026"/>
      <c r="S79" s="2026"/>
      <c r="T79" s="2026"/>
      <c r="U79" s="2026"/>
      <c r="V79" s="2026"/>
    </row>
    <row r="80" spans="1:22" ht="12.75">
      <c r="A80" s="3309" t="s">
        <v>428</v>
      </c>
      <c r="B80" s="3310"/>
      <c r="C80" s="990"/>
      <c r="D80" s="990" t="s">
        <v>429</v>
      </c>
      <c r="E80" s="367" t="s">
        <v>430</v>
      </c>
      <c r="F80" s="42"/>
      <c r="G80" s="42"/>
      <c r="H80" s="999"/>
      <c r="I80" s="310"/>
      <c r="J80" s="2026"/>
      <c r="K80" s="3303"/>
      <c r="L80" s="3304"/>
      <c r="M80" s="3083" t="s">
        <v>425</v>
      </c>
      <c r="N80" s="1298"/>
      <c r="O80" s="1299" t="e">
        <f ca="1">NUMBERSTRING(INT(O79*10000),2)&amp;"元整"</f>
        <v>#VALUE!</v>
      </c>
      <c r="P80" s="1300"/>
      <c r="Q80" s="2026"/>
      <c r="R80" s="2026"/>
      <c r="S80" s="2026"/>
      <c r="T80" s="2026"/>
      <c r="U80" s="2026"/>
      <c r="V80" s="2026"/>
    </row>
    <row r="81" spans="1:26" ht="13.5" thickBot="1">
      <c r="A81" s="378" t="s">
        <v>1825</v>
      </c>
      <c r="B81" s="368" t="s">
        <v>431</v>
      </c>
      <c r="C81" s="369">
        <f ca="1">ROUND((C82+C83)/(1+'数据-取费表'!C42),0)</f>
        <v>153795</v>
      </c>
      <c r="D81" s="370"/>
      <c r="E81" s="371"/>
      <c r="F81" s="42"/>
      <c r="G81" s="42"/>
      <c r="H81" s="999"/>
      <c r="I81" s="310"/>
      <c r="J81" s="2026"/>
      <c r="K81" s="3077">
        <f>K79+1</f>
        <v>7</v>
      </c>
      <c r="L81" s="3316" t="s">
        <v>2896</v>
      </c>
      <c r="M81" s="3317"/>
      <c r="N81" s="1302"/>
      <c r="O81" s="1303" t="e">
        <f ca="1">ROUND(O79*10000/'数据-汇总表'!E3,0)</f>
        <v>#VALUE!</v>
      </c>
      <c r="P81" s="1304"/>
      <c r="Q81" s="2026"/>
      <c r="R81" s="2026"/>
      <c r="S81" s="2026"/>
      <c r="T81" s="2026"/>
      <c r="U81" s="2026"/>
      <c r="V81" s="2026"/>
    </row>
    <row r="82" spans="1:26" ht="13.5" thickTop="1">
      <c r="A82" s="372" t="s">
        <v>1826</v>
      </c>
      <c r="B82" s="373" t="s">
        <v>432</v>
      </c>
      <c r="C82" s="374">
        <f ca="1">D63</f>
        <v>161485</v>
      </c>
      <c r="D82" s="375" t="s">
        <v>19</v>
      </c>
      <c r="E82" s="376"/>
      <c r="F82" s="42"/>
      <c r="G82" s="42"/>
      <c r="H82" s="999"/>
      <c r="I82" s="310"/>
      <c r="J82" s="2026"/>
      <c r="K82" s="2026"/>
      <c r="L82" s="2026"/>
      <c r="M82" s="2026"/>
      <c r="N82" s="2026"/>
      <c r="O82" s="2026"/>
      <c r="P82" s="2026"/>
      <c r="Q82" s="2026"/>
      <c r="R82" s="2026"/>
      <c r="S82" s="2026"/>
      <c r="T82" s="2026"/>
      <c r="U82" s="2026"/>
      <c r="V82" s="2026"/>
    </row>
    <row r="83" spans="1:26" ht="12.75">
      <c r="A83" s="372" t="s">
        <v>1827</v>
      </c>
      <c r="B83" s="373" t="s">
        <v>433</v>
      </c>
      <c r="C83" s="377">
        <v>0</v>
      </c>
      <c r="D83" s="375"/>
      <c r="E83" s="376"/>
      <c r="F83" s="42"/>
      <c r="G83" s="42"/>
      <c r="H83" s="999"/>
      <c r="I83" s="310"/>
      <c r="J83" s="2026"/>
      <c r="K83" s="3291" t="s">
        <v>2883</v>
      </c>
      <c r="L83" s="3089" t="s">
        <v>2884</v>
      </c>
      <c r="M83" s="3079" t="e">
        <f>IF(N69&gt;10000,N69*0.5%,IF(AND(N69&gt;1000,N69&lt;=10000),N69*1%,IF(AND(N69&gt;100,N69&lt;=1000),N69*3%,IF(AND(N69&gt;10,N69&lt;=100),N69*5%,N69*8%))))</f>
        <v>#VALUE!</v>
      </c>
      <c r="N83" s="53" t="e">
        <f>ROUND(M83,1)</f>
        <v>#VALUE!</v>
      </c>
      <c r="O83" s="3082"/>
      <c r="P83" s="2026"/>
      <c r="Q83" s="2026"/>
      <c r="R83" s="2026"/>
      <c r="S83" s="2026"/>
      <c r="T83" s="2026"/>
      <c r="U83" s="2026"/>
      <c r="V83" s="2026"/>
    </row>
    <row r="84" spans="1:26" ht="12.75">
      <c r="A84" s="378" t="s">
        <v>1828</v>
      </c>
      <c r="B84" s="379" t="s">
        <v>434</v>
      </c>
      <c r="C84" s="380">
        <v>2000</v>
      </c>
      <c r="D84" s="381" t="s">
        <v>19</v>
      </c>
      <c r="E84" s="3124" t="s">
        <v>2953</v>
      </c>
      <c r="F84" s="42"/>
      <c r="G84" s="42"/>
      <c r="H84" s="999"/>
      <c r="I84" s="310"/>
      <c r="J84" s="2026"/>
      <c r="K84" s="3291"/>
      <c r="L84" s="3089" t="s">
        <v>2885</v>
      </c>
      <c r="M84" s="307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6" t="s">
        <v>2886</v>
      </c>
      <c r="P84" s="2026"/>
      <c r="Q84" s="2026"/>
      <c r="R84" s="2026"/>
      <c r="S84" s="2026"/>
      <c r="T84" s="2026"/>
      <c r="U84" s="2026"/>
      <c r="V84" s="2026"/>
    </row>
    <row r="85" spans="1:26" ht="12.75">
      <c r="A85" s="378" t="s">
        <v>1829</v>
      </c>
      <c r="B85" s="379" t="s">
        <v>435</v>
      </c>
      <c r="C85" s="382">
        <f ca="1">C81-C84</f>
        <v>151795</v>
      </c>
      <c r="D85" s="375" t="s">
        <v>19</v>
      </c>
      <c r="E85" s="376"/>
      <c r="F85" s="42"/>
      <c r="G85" s="42"/>
      <c r="H85" s="999"/>
      <c r="I85" s="310"/>
      <c r="J85" s="2026"/>
      <c r="K85" s="3291"/>
      <c r="L85" s="3089" t="s">
        <v>2887</v>
      </c>
      <c r="M85" s="3079" t="e">
        <f>IF(N69&gt;1000,N69*0.1%,IF(AND(N69&gt;500,N69&lt;=1000),N69*0.5%,IF(AND(N69&gt;50,N69&lt;=500),N69*1%,IF(AND(N69&gt;1,N69&lt;=50),N69*1.5%))))</f>
        <v>#VALUE!</v>
      </c>
      <c r="N85" s="53" t="e">
        <f t="shared" si="2"/>
        <v>#VALUE!</v>
      </c>
      <c r="O85" s="2026" t="s">
        <v>2886</v>
      </c>
      <c r="P85" s="2026"/>
      <c r="Q85" s="2026"/>
      <c r="R85" s="2026"/>
      <c r="S85" s="2026"/>
      <c r="T85" s="2026"/>
      <c r="U85" s="2026"/>
      <c r="V85" s="2026"/>
    </row>
    <row r="86" spans="1:26" ht="13.5" thickBot="1">
      <c r="A86" s="383" t="s">
        <v>1830</v>
      </c>
      <c r="B86" s="384" t="s">
        <v>436</v>
      </c>
      <c r="C86" s="385">
        <f ca="1">IF(C85&lt;=0,0,ROUND(C85*D86,0))</f>
        <v>8501</v>
      </c>
      <c r="D86" s="386">
        <f>'数据-取费表'!B41</f>
        <v>5.6000000000000001E-2</v>
      </c>
      <c r="E86" s="387"/>
      <c r="F86" s="42"/>
      <c r="G86" s="42"/>
      <c r="H86" s="999"/>
      <c r="I86" s="310"/>
      <c r="J86" s="2026"/>
      <c r="K86" s="3291"/>
      <c r="L86" s="3089" t="s">
        <v>2888</v>
      </c>
      <c r="M86" s="3079" t="e">
        <f>N69*0.5%</f>
        <v>#VALUE!</v>
      </c>
      <c r="N86" s="53" t="e">
        <f>IF(M86&gt;0.5,0.5,ROUND(M86,0))</f>
        <v>#VALUE!</v>
      </c>
      <c r="O86" s="2026" t="s">
        <v>2889</v>
      </c>
      <c r="P86" s="2026"/>
      <c r="Q86" s="2026"/>
      <c r="R86" s="2026"/>
      <c r="S86" s="2026"/>
      <c r="T86" s="2026"/>
      <c r="U86" s="2026"/>
      <c r="V86" s="2026"/>
    </row>
    <row r="87" spans="1:26" s="1250" customFormat="1" ht="14.25" customHeight="1">
      <c r="A87" s="1305"/>
      <c r="B87" s="1306"/>
      <c r="C87" s="1307"/>
      <c r="D87" s="1308"/>
      <c r="E87" s="1309"/>
      <c r="F87" s="42"/>
      <c r="G87" s="42"/>
      <c r="H87" s="999"/>
      <c r="I87" s="310"/>
      <c r="J87" s="2026"/>
      <c r="K87" s="3291"/>
      <c r="L87" s="3089" t="s">
        <v>2890</v>
      </c>
      <c r="M87" s="307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2"/>
      <c r="P87" s="310"/>
      <c r="Q87" s="2026"/>
      <c r="R87" s="2026"/>
      <c r="S87" s="2026"/>
      <c r="T87" s="2026"/>
      <c r="U87" s="2026"/>
      <c r="V87" s="2026"/>
      <c r="W87" s="291"/>
      <c r="X87" s="291"/>
      <c r="Y87" s="291"/>
      <c r="Z87" s="291"/>
    </row>
    <row r="88" spans="1:26" s="1310" customFormat="1" ht="15" thickBot="1">
      <c r="A88" s="3345" t="s">
        <v>437</v>
      </c>
      <c r="B88" s="3346"/>
      <c r="C88" s="3346"/>
      <c r="D88" s="3346"/>
      <c r="E88" s="3346"/>
      <c r="F88" s="3346"/>
      <c r="G88" s="3346"/>
      <c r="H88" s="3346"/>
      <c r="I88" s="1311"/>
      <c r="J88" s="2034"/>
      <c r="K88" s="3291"/>
      <c r="L88" s="3089" t="s">
        <v>2891</v>
      </c>
      <c r="M88" s="3079" t="e">
        <f>IF(N69&gt;10000,N69*0.5%,IF(AND(N69&gt;5000,N69&lt;=10000),N69*1%,IF(AND(N69&gt;1000,N69&lt;=5000),N69*2%,IF(AND(N69&gt;200,N69&lt;=1000),N69*3%,N69*5%))))</f>
        <v>#VALUE!</v>
      </c>
      <c r="N88" s="53" t="e">
        <f>ROUND(M88,1)</f>
        <v>#VALUE!</v>
      </c>
      <c r="O88" s="3082"/>
      <c r="P88" s="11"/>
      <c r="Q88" s="2031"/>
      <c r="R88" s="2031"/>
      <c r="S88" s="2031"/>
      <c r="T88" s="2031"/>
      <c r="U88" s="2031"/>
      <c r="V88" s="2031"/>
      <c r="W88" s="2035"/>
      <c r="X88" s="2035"/>
      <c r="Y88" s="2035"/>
      <c r="Z88" s="2035"/>
    </row>
    <row r="89" spans="1:26" s="1310" customFormat="1" ht="14.25">
      <c r="A89" s="3309" t="s">
        <v>428</v>
      </c>
      <c r="B89" s="3310"/>
      <c r="C89" s="990"/>
      <c r="D89" s="990" t="s">
        <v>429</v>
      </c>
      <c r="E89" s="388" t="s">
        <v>438</v>
      </c>
      <c r="F89" s="389"/>
      <c r="G89" s="389"/>
      <c r="H89" s="390"/>
      <c r="I89" s="1312"/>
      <c r="J89" s="2036"/>
      <c r="K89" s="3291"/>
      <c r="L89" s="3089" t="s">
        <v>27</v>
      </c>
      <c r="M89" s="3080"/>
      <c r="N89" s="53" t="e">
        <f>ROUND(SUM(N83:N88),0)</f>
        <v>#VALUE!</v>
      </c>
      <c r="O89" s="3090" t="e">
        <f>N89/N69</f>
        <v>#VALUE!</v>
      </c>
      <c r="P89" s="2031"/>
      <c r="Q89" s="2031"/>
      <c r="R89" s="2031"/>
      <c r="S89" s="2031"/>
      <c r="T89" s="2031"/>
      <c r="U89" s="2031"/>
      <c r="V89" s="2031"/>
      <c r="W89" s="2035"/>
      <c r="X89" s="2035"/>
      <c r="Y89" s="2035"/>
      <c r="Z89" s="2035"/>
    </row>
    <row r="90" spans="1:26" s="1310" customFormat="1" ht="14.25">
      <c r="A90" s="378" t="s">
        <v>1825</v>
      </c>
      <c r="B90" s="379" t="s">
        <v>439</v>
      </c>
      <c r="C90" s="382">
        <f ca="1">ROUND(D63/(1+'数据-取费表'!C42),0)</f>
        <v>153795</v>
      </c>
      <c r="D90" s="375" t="s">
        <v>19</v>
      </c>
      <c r="E90" s="987"/>
      <c r="F90" s="986"/>
      <c r="G90" s="986"/>
      <c r="H90" s="391"/>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78" t="s">
        <v>1831</v>
      </c>
      <c r="B91" s="345" t="s">
        <v>440</v>
      </c>
      <c r="C91" s="382">
        <f ca="1">C92+C96</f>
        <v>3484</v>
      </c>
      <c r="D91" s="375" t="s">
        <v>19</v>
      </c>
      <c r="E91" s="987"/>
      <c r="F91" s="986"/>
      <c r="G91" s="986"/>
      <c r="H91" s="391"/>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2" t="s">
        <v>1832</v>
      </c>
      <c r="B92" s="373" t="s">
        <v>441</v>
      </c>
      <c r="C92" s="375">
        <f>ROUND(IF(G95="2016年5月1日后购买",C93/(1+'数据-取费表'!C30)+C94+C95,C93+C94+C95),0)</f>
        <v>2561</v>
      </c>
      <c r="D92" s="375" t="s">
        <v>19</v>
      </c>
      <c r="E92" s="987"/>
      <c r="F92" s="986"/>
      <c r="G92" s="986"/>
      <c r="H92" s="391"/>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2" t="s">
        <v>1833</v>
      </c>
      <c r="B93" s="373" t="s">
        <v>442</v>
      </c>
      <c r="C93" s="393">
        <v>2000</v>
      </c>
      <c r="D93" s="375" t="s">
        <v>19</v>
      </c>
      <c r="E93" s="394" t="s">
        <v>443</v>
      </c>
      <c r="F93" s="395" t="s">
        <v>444</v>
      </c>
      <c r="G93" s="394" t="s">
        <v>445</v>
      </c>
      <c r="H93" s="396">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2" t="s">
        <v>1834</v>
      </c>
      <c r="B94" s="397" t="s">
        <v>446</v>
      </c>
      <c r="C94" s="375">
        <f>IF(F93="购房发票",ROUND(C93*H93*5%,0),0)</f>
        <v>500</v>
      </c>
      <c r="D94" s="398">
        <v>0.05</v>
      </c>
      <c r="E94" s="3342" t="s">
        <v>447</v>
      </c>
      <c r="F94" s="3343"/>
      <c r="G94" s="3343"/>
      <c r="H94" s="3344"/>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2" t="s">
        <v>1835</v>
      </c>
      <c r="B95" s="373" t="s">
        <v>448</v>
      </c>
      <c r="C95" s="375">
        <f>ROUND(IF(G95="个人买卖住房",0,IF(G95="2016年5月1日前购买",C93*D95,C93*D95/(1+'数据-取费表'!C42))),0)</f>
        <v>61</v>
      </c>
      <c r="D95" s="399">
        <f>'数据-取费表'!B48+'数据-取费表'!B49</f>
        <v>3.0499999999999999E-2</v>
      </c>
      <c r="E95" s="26" t="s">
        <v>449</v>
      </c>
      <c r="F95" s="400"/>
      <c r="G95" s="401" t="s">
        <v>2434</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2" t="s">
        <v>1836</v>
      </c>
      <c r="B96" s="373" t="s">
        <v>450</v>
      </c>
      <c r="C96" s="402">
        <f ca="1">ROUND(D63*D96/(1+'数据-取费表'!C42),0)</f>
        <v>923</v>
      </c>
      <c r="D96" s="403">
        <f>'数据-取费表'!B43</f>
        <v>6.000000000000001E-3</v>
      </c>
      <c r="E96" s="3332" t="s">
        <v>2433</v>
      </c>
      <c r="F96" s="3333"/>
      <c r="G96" s="3333"/>
      <c r="H96" s="3334"/>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1837</v>
      </c>
      <c r="B97" s="379" t="s">
        <v>451</v>
      </c>
      <c r="C97" s="382">
        <f ca="1">C90-C91</f>
        <v>150311</v>
      </c>
      <c r="D97" s="375" t="s">
        <v>19</v>
      </c>
      <c r="E97" s="987"/>
      <c r="F97" s="986"/>
      <c r="G97" s="986"/>
      <c r="H97" s="391"/>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1838</v>
      </c>
      <c r="B98" s="379" t="s">
        <v>452</v>
      </c>
      <c r="C98" s="404">
        <f ca="1">IF(C97&lt;=0,0,C97/C91)</f>
        <v>43.14322617680827</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1"/>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1839</v>
      </c>
      <c r="B99" s="384" t="s">
        <v>453</v>
      </c>
      <c r="C99" s="405">
        <f ca="1">ROUND(IF(C97&lt;=0,0,IF(C98&gt;=200%,C97*60%-C91*35%,IF(C98&gt;=100%,C97*50%-C91*15%,IF(C98&gt;=50%,C97*40%-C91*5%,IF(C98&lt;50%,C97*30%,0))))),0)</f>
        <v>88967</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345" t="s">
        <v>454</v>
      </c>
      <c r="B101" s="3346"/>
      <c r="C101" s="3346"/>
      <c r="D101" s="3346"/>
      <c r="E101" s="3346"/>
      <c r="F101" s="3346"/>
      <c r="G101" s="3346"/>
      <c r="H101" s="3346"/>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309" t="s">
        <v>428</v>
      </c>
      <c r="B102" s="3310"/>
      <c r="C102" s="990"/>
      <c r="D102" s="990" t="s">
        <v>429</v>
      </c>
      <c r="E102" s="388" t="s">
        <v>438</v>
      </c>
      <c r="F102" s="389"/>
      <c r="G102" s="389"/>
      <c r="H102" s="410"/>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78" t="s">
        <v>1825</v>
      </c>
      <c r="B103" s="379" t="s">
        <v>439</v>
      </c>
      <c r="C103" s="382">
        <f ca="1">ROUND(D63/(1+'数据-取费表'!C42),0)</f>
        <v>153795</v>
      </c>
      <c r="D103" s="375" t="s">
        <v>19</v>
      </c>
      <c r="E103" s="987"/>
      <c r="F103" s="986"/>
      <c r="G103" s="986"/>
      <c r="H103" s="411"/>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78" t="s">
        <v>1831</v>
      </c>
      <c r="B104" s="345" t="s">
        <v>440</v>
      </c>
      <c r="C104" s="382">
        <f ca="1">IF(H106="仅含出让金",C105+C108+C109+C110+C111+C112,C105+C109+C110+C111+C112)</f>
        <v>1613</v>
      </c>
      <c r="D104" s="412"/>
      <c r="E104" s="987"/>
      <c r="F104" s="986"/>
      <c r="G104" s="986"/>
      <c r="H104" s="411"/>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2" t="s">
        <v>1832</v>
      </c>
      <c r="B105" s="373" t="s">
        <v>455</v>
      </c>
      <c r="C105" s="402">
        <f>C106+C107</f>
        <v>572</v>
      </c>
      <c r="D105" s="403"/>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2" t="s">
        <v>1833</v>
      </c>
      <c r="B106" s="373" t="s">
        <v>456</v>
      </c>
      <c r="C106" s="413">
        <v>555</v>
      </c>
      <c r="D106" s="403"/>
      <c r="E106" s="414" t="s">
        <v>457</v>
      </c>
      <c r="F106" s="982"/>
      <c r="G106" s="415" t="s">
        <v>458</v>
      </c>
      <c r="H106" s="416" t="s">
        <v>2444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2" t="s">
        <v>1834</v>
      </c>
      <c r="B107" s="373" t="s">
        <v>448</v>
      </c>
      <c r="C107" s="402">
        <f>ROUND(C106*D107,0)</f>
        <v>17</v>
      </c>
      <c r="D107" s="403">
        <f>'数据-取费表'!B48+'数据-取费表'!B49</f>
        <v>3.0499999999999999E-2</v>
      </c>
      <c r="E107" s="414"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2" t="s">
        <v>1836</v>
      </c>
      <c r="B108" s="373" t="s">
        <v>460</v>
      </c>
      <c r="C108" s="413"/>
      <c r="D108" s="403"/>
      <c r="E108" s="414"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1840</v>
      </c>
      <c r="B109" s="373" t="s">
        <v>461</v>
      </c>
      <c r="C109" s="402">
        <f>IF(H109="——",IF(F1="现房",'剩余法-现房'!C18,'剩余法-待开发'!C18),I109)</f>
        <v>55</v>
      </c>
      <c r="D109" s="403"/>
      <c r="E109" s="3335" t="s">
        <v>462</v>
      </c>
      <c r="F109" s="3333"/>
      <c r="G109" s="3333"/>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1841</v>
      </c>
      <c r="B110" s="373" t="s">
        <v>463</v>
      </c>
      <c r="C110" s="402">
        <f>ROUND((C105+C108+C109)*D110,0)</f>
        <v>63</v>
      </c>
      <c r="D110" s="403">
        <v>0.1</v>
      </c>
      <c r="E110" s="3335" t="s">
        <v>464</v>
      </c>
      <c r="F110" s="3333"/>
      <c r="G110" s="3333"/>
      <c r="H110" s="3334"/>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1842</v>
      </c>
      <c r="B111" s="373" t="s">
        <v>450</v>
      </c>
      <c r="C111" s="402">
        <f ca="1">ROUND(D63*D111/(1+'数据-取费表'!C42),0)</f>
        <v>923</v>
      </c>
      <c r="D111" s="403">
        <f>'数据-取费表'!B43</f>
        <v>6.000000000000001E-3</v>
      </c>
      <c r="E111" s="3332" t="s">
        <v>2433</v>
      </c>
      <c r="F111" s="3333"/>
      <c r="G111" s="3333"/>
      <c r="H111" s="3334"/>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1843</v>
      </c>
      <c r="B112" s="373" t="s">
        <v>465</v>
      </c>
      <c r="C112" s="402">
        <f>ROUND(C108*D112,0)</f>
        <v>0</v>
      </c>
      <c r="D112" s="403">
        <v>0.2</v>
      </c>
      <c r="E112" s="3335" t="s">
        <v>2458</v>
      </c>
      <c r="F112" s="3333"/>
      <c r="G112" s="3333"/>
      <c r="H112" s="3334"/>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1837</v>
      </c>
      <c r="B113" s="379" t="s">
        <v>451</v>
      </c>
      <c r="C113" s="382">
        <f ca="1">ROUND(C103-C104,0)</f>
        <v>152182</v>
      </c>
      <c r="D113" s="375" t="s">
        <v>19</v>
      </c>
      <c r="E113" s="987"/>
      <c r="F113" s="986"/>
      <c r="G113" s="986"/>
      <c r="H113" s="411"/>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1838</v>
      </c>
      <c r="B114" s="379" t="s">
        <v>452</v>
      </c>
      <c r="C114" s="404">
        <f ca="1">IF(C113&lt;=0,0,C113/C104)</f>
        <v>94.347179169249841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1"/>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1839</v>
      </c>
      <c r="B115" s="384" t="s">
        <v>453</v>
      </c>
      <c r="C115" s="405">
        <f ca="1">ROUND(IF(C113&lt;=0,0,IF(C114&gt;=200%,C113*60%-C104*35%,IF(C114&gt;=100%,C113*50%-C104*15%,IF(C114&gt;=50%,C113*40%-C104*5%,IF(C114&lt;50%,C113*30%,0))))),0)</f>
        <v>90745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M13" sqref="M1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499" t="s">
        <v>517</v>
      </c>
      <c r="B1" s="500"/>
      <c r="C1" s="501" t="s">
        <v>518</v>
      </c>
      <c r="D1" s="502" t="s">
        <v>519</v>
      </c>
      <c r="E1" s="503"/>
      <c r="F1" s="425"/>
      <c r="G1" s="503"/>
      <c r="H1" s="503"/>
      <c r="I1" s="503"/>
      <c r="J1" s="503"/>
      <c r="K1" s="504"/>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0" t="s">
        <v>467</v>
      </c>
      <c r="B2" s="505">
        <f>F68</f>
        <v>309827</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1686</v>
      </c>
      <c r="B3" s="507">
        <f>ROUND(B2*10000/'数据-汇总表'!E3,0)</f>
        <v>22710</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30" s="1332" customFormat="1" ht="28.5" customHeight="1">
      <c r="A4" s="508" t="s">
        <v>521</v>
      </c>
      <c r="B4" s="424">
        <f>IF(B48="单位面积地价",C50,ROUND(B2*10000/'数据-汇总表'!D3,0))</f>
        <v>82890</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30" s="1332" customFormat="1" ht="28.5" customHeight="1" thickBot="1">
      <c r="A5" s="426"/>
      <c r="B5" s="427">
        <f>ROUND(B2/('数据-汇总表'!D3/666.67),0)</f>
        <v>5526</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5"/>
    </row>
    <row r="6" spans="1:30" ht="20.25">
      <c r="A6" s="509" t="s">
        <v>522</v>
      </c>
      <c r="B6" s="510"/>
      <c r="C6" s="3390" t="s">
        <v>523</v>
      </c>
      <c r="D6" s="3391"/>
      <c r="E6" s="3390" t="s">
        <v>524</v>
      </c>
      <c r="F6" s="3391"/>
      <c r="G6" s="3390" t="s">
        <v>525</v>
      </c>
      <c r="H6" s="3391"/>
      <c r="I6" s="3390" t="s">
        <v>526</v>
      </c>
      <c r="J6" s="3391"/>
      <c r="K6" s="511" t="s">
        <v>527</v>
      </c>
      <c r="L6" s="2131"/>
      <c r="M6" s="2130"/>
      <c r="N6" s="2130"/>
      <c r="O6" s="2132"/>
      <c r="P6" s="3392" t="s">
        <v>528</v>
      </c>
      <c r="Q6" s="3393"/>
      <c r="R6" s="3378" t="s">
        <v>524</v>
      </c>
      <c r="S6" s="3379"/>
      <c r="T6" s="3378" t="s">
        <v>525</v>
      </c>
      <c r="U6" s="3379"/>
      <c r="V6" s="3398" t="s">
        <v>526</v>
      </c>
      <c r="W6" s="3398"/>
      <c r="X6" s="1564"/>
      <c r="Y6" s="3378" t="s">
        <v>528</v>
      </c>
      <c r="Z6" s="3379"/>
      <c r="AA6" s="3373" t="s">
        <v>524</v>
      </c>
      <c r="AB6" s="3374" t="s">
        <v>525</v>
      </c>
      <c r="AC6" s="3373" t="s">
        <v>526</v>
      </c>
    </row>
    <row r="7" spans="1:30" ht="20.25">
      <c r="A7" s="512"/>
      <c r="B7" s="513"/>
      <c r="C7" s="3401" t="s">
        <v>2940</v>
      </c>
      <c r="D7" s="3402"/>
      <c r="E7" s="3401" t="s">
        <v>2941</v>
      </c>
      <c r="F7" s="3402"/>
      <c r="G7" s="3401" t="s">
        <v>2942</v>
      </c>
      <c r="H7" s="3402"/>
      <c r="I7" s="3401" t="s">
        <v>2943</v>
      </c>
      <c r="J7" s="3402"/>
      <c r="K7" s="511"/>
      <c r="L7" s="2131"/>
      <c r="M7" s="2130"/>
      <c r="N7" s="2130"/>
      <c r="O7" s="2132"/>
      <c r="P7" s="3394"/>
      <c r="Q7" s="3395"/>
      <c r="R7" s="3380"/>
      <c r="S7" s="3381"/>
      <c r="T7" s="3380"/>
      <c r="U7" s="3381"/>
      <c r="V7" s="3398"/>
      <c r="W7" s="3398"/>
      <c r="X7" s="1564"/>
      <c r="Y7" s="3380"/>
      <c r="Z7" s="3381"/>
      <c r="AA7" s="3374"/>
      <c r="AB7" s="3374"/>
      <c r="AC7" s="3374"/>
    </row>
    <row r="8" spans="1:30" ht="42.75" customHeight="1" thickBot="1">
      <c r="A8" s="512"/>
      <c r="B8" s="513"/>
      <c r="C8" s="3403" t="s">
        <v>2944</v>
      </c>
      <c r="D8" s="3404"/>
      <c r="E8" s="3405" t="s">
        <v>3003</v>
      </c>
      <c r="F8" s="3404"/>
      <c r="G8" s="3399" t="s">
        <v>3018</v>
      </c>
      <c r="H8" s="3400"/>
      <c r="I8" s="3399" t="s">
        <v>3019</v>
      </c>
      <c r="J8" s="3400"/>
      <c r="K8" s="511" t="s">
        <v>529</v>
      </c>
      <c r="L8" s="2131"/>
      <c r="M8" s="2130"/>
      <c r="N8" s="2130"/>
      <c r="O8" s="2132"/>
      <c r="P8" s="3396"/>
      <c r="Q8" s="3397"/>
      <c r="R8" s="3380"/>
      <c r="S8" s="3381"/>
      <c r="T8" s="3382"/>
      <c r="U8" s="3383"/>
      <c r="V8" s="3398"/>
      <c r="W8" s="3398"/>
      <c r="X8" s="1564"/>
      <c r="Y8" s="3382"/>
      <c r="Z8" s="3383"/>
      <c r="AA8" s="3375"/>
      <c r="AB8" s="3375"/>
      <c r="AC8" s="3375"/>
    </row>
    <row r="9" spans="1:30" s="1216" customFormat="1" ht="21" thickBot="1">
      <c r="A9" s="2935"/>
      <c r="B9" s="2942" t="s">
        <v>530</v>
      </c>
      <c r="C9" s="2934">
        <f>'数据-取费表'!B2</f>
        <v>43123</v>
      </c>
      <c r="D9" s="517">
        <v>100</v>
      </c>
      <c r="E9" s="518">
        <v>42614</v>
      </c>
      <c r="F9" s="519">
        <f>SUMIF(72:72,YEAR(E9)&amp;"-"&amp;INT((MONTH(E9)+2)/3),73:73)</f>
        <v>94</v>
      </c>
      <c r="G9" s="520">
        <v>42461</v>
      </c>
      <c r="H9" s="517">
        <f>SUMIF(72:72,YEAR(G9)&amp;"-"&amp;INT((MONTH(G9)+2)/3),73:73)</f>
        <v>93</v>
      </c>
      <c r="I9" s="520">
        <v>42887</v>
      </c>
      <c r="J9" s="517">
        <f>SUMIF(72:72,YEAR(I9)&amp;"-"&amp;INT((MONTH(I9)+2)/3),73:73)</f>
        <v>97</v>
      </c>
      <c r="K9" s="521"/>
      <c r="L9" s="2133"/>
      <c r="M9" s="2130"/>
      <c r="N9" s="2130"/>
      <c r="O9" s="2134"/>
      <c r="P9" s="3376" t="s">
        <v>531</v>
      </c>
      <c r="Q9" s="3385"/>
      <c r="R9" s="1565" t="s">
        <v>8</v>
      </c>
      <c r="S9" s="1566">
        <f t="shared" ref="S9:S17" si="0">F9</f>
        <v>94</v>
      </c>
      <c r="T9" s="1565" t="s">
        <v>8</v>
      </c>
      <c r="U9" s="1566">
        <f t="shared" ref="U9:U17" si="1">H9</f>
        <v>93</v>
      </c>
      <c r="V9" s="1565" t="s">
        <v>8</v>
      </c>
      <c r="W9" s="1566">
        <f t="shared" ref="W9:W17" si="2">J9</f>
        <v>97</v>
      </c>
      <c r="X9" s="1567"/>
      <c r="Y9" s="3376" t="s">
        <v>531</v>
      </c>
      <c r="Z9" s="3377"/>
      <c r="AA9" s="1568">
        <f>D9/F9</f>
        <v>1.0638297872340425</v>
      </c>
      <c r="AB9" s="1568">
        <f>D9/H9</f>
        <v>1.075268817204301</v>
      </c>
      <c r="AC9" s="1568">
        <f>D9/J9</f>
        <v>1.0309278350515463</v>
      </c>
    </row>
    <row r="10" spans="1:30" s="1216" customFormat="1" ht="21" thickBot="1">
      <c r="A10" s="2936"/>
      <c r="B10" s="2943" t="s">
        <v>532</v>
      </c>
      <c r="C10" s="853" t="s">
        <v>533</v>
      </c>
      <c r="D10" s="517">
        <v>100</v>
      </c>
      <c r="E10" s="3165" t="s">
        <v>3004</v>
      </c>
      <c r="F10" s="519">
        <f>SUMIF(75:75,E10,76:76)-SUMIF(75:75,C10,76:76)+100</f>
        <v>100</v>
      </c>
      <c r="G10" s="3165" t="s">
        <v>3004</v>
      </c>
      <c r="H10" s="517">
        <f>SUMIF(75:75,G10,76:76)-SUMIF(75:75,C10,76:76)+100</f>
        <v>100</v>
      </c>
      <c r="I10" s="3165" t="s">
        <v>3004</v>
      </c>
      <c r="J10" s="517">
        <f>SUMIF(75:75,I10,76:76)-SUMIF(75:75,C10,76:76)+100</f>
        <v>100</v>
      </c>
      <c r="K10" s="521"/>
      <c r="L10" s="2133"/>
      <c r="M10" s="2130"/>
      <c r="N10" s="2130"/>
      <c r="O10" s="2134"/>
      <c r="P10" s="3376" t="s">
        <v>534</v>
      </c>
      <c r="Q10" s="3377"/>
      <c r="R10" s="1565" t="s">
        <v>8</v>
      </c>
      <c r="S10" s="1566">
        <f t="shared" si="0"/>
        <v>100</v>
      </c>
      <c r="T10" s="1565" t="s">
        <v>8</v>
      </c>
      <c r="U10" s="1566">
        <f t="shared" si="1"/>
        <v>100</v>
      </c>
      <c r="V10" s="1565" t="s">
        <v>8</v>
      </c>
      <c r="W10" s="1566">
        <f t="shared" si="2"/>
        <v>100</v>
      </c>
      <c r="X10" s="1567"/>
      <c r="Y10" s="3376" t="s">
        <v>534</v>
      </c>
      <c r="Z10" s="3377"/>
      <c r="AA10" s="1568">
        <f t="shared" ref="AA10:AA47" si="3">D10/F10</f>
        <v>1</v>
      </c>
      <c r="AB10" s="1568">
        <f t="shared" ref="AB10:AB47" si="4">D10/H10</f>
        <v>1</v>
      </c>
      <c r="AC10" s="1568">
        <f t="shared" ref="AC10:AC47" si="5">D10/J10</f>
        <v>1</v>
      </c>
    </row>
    <row r="11" spans="1:30" s="1216" customFormat="1" ht="20.25">
      <c r="A11" s="2937"/>
      <c r="B11" s="2944" t="s">
        <v>2765</v>
      </c>
      <c r="C11" s="3167" t="s">
        <v>3006</v>
      </c>
      <c r="D11" s="253">
        <v>100</v>
      </c>
      <c r="E11" s="3166" t="s">
        <v>3005</v>
      </c>
      <c r="F11" s="253">
        <f>SUMIF(77:77,E11,78:78)-SUMIF(77:77,C11,78:78)+100</f>
        <v>100</v>
      </c>
      <c r="G11" s="3166" t="s">
        <v>3005</v>
      </c>
      <c r="H11" s="253">
        <f>SUMIF(77:77,G11,78:78)-SUMIF(77:77,C11,78:78)+100</f>
        <v>100</v>
      </c>
      <c r="I11" s="3166" t="s">
        <v>3005</v>
      </c>
      <c r="J11" s="253">
        <f>SUMIF(77:77,I11,78:78)-SUMIF(77:77,C11,78:78)+100</f>
        <v>100</v>
      </c>
      <c r="K11" s="521"/>
      <c r="L11" s="2133"/>
      <c r="M11" s="2130"/>
      <c r="N11" s="2130"/>
      <c r="O11" s="2135"/>
      <c r="P11" s="3384" t="s">
        <v>536</v>
      </c>
      <c r="Q11" s="1147" t="str">
        <f t="shared" ref="Q11:Q17" si="6">B11</f>
        <v>用途</v>
      </c>
      <c r="R11" s="1565" t="s">
        <v>8</v>
      </c>
      <c r="S11" s="1566">
        <f t="shared" si="0"/>
        <v>100</v>
      </c>
      <c r="T11" s="1565" t="s">
        <v>8</v>
      </c>
      <c r="U11" s="1566">
        <f t="shared" si="1"/>
        <v>100</v>
      </c>
      <c r="V11" s="1565" t="s">
        <v>8</v>
      </c>
      <c r="W11" s="1566">
        <f t="shared" si="2"/>
        <v>100</v>
      </c>
      <c r="X11" s="1567"/>
      <c r="Y11" s="3341" t="s">
        <v>537</v>
      </c>
      <c r="Z11" s="1146" t="str">
        <f t="shared" ref="Z11:Z17" si="7">Q11</f>
        <v>用途</v>
      </c>
      <c r="AA11" s="1568">
        <f t="shared" si="3"/>
        <v>1</v>
      </c>
      <c r="AB11" s="1568">
        <f t="shared" si="4"/>
        <v>1</v>
      </c>
      <c r="AC11" s="1568">
        <f t="shared" si="5"/>
        <v>1</v>
      </c>
    </row>
    <row r="12" spans="1:30" s="1334" customFormat="1" ht="27">
      <c r="A12" s="2938"/>
      <c r="B12" s="2943" t="s">
        <v>2766</v>
      </c>
      <c r="C12" s="906">
        <v>69.900000000000006</v>
      </c>
      <c r="D12" s="254">
        <v>100</v>
      </c>
      <c r="E12" s="526" t="s">
        <v>3007</v>
      </c>
      <c r="F12" s="254">
        <f>ROUND(100/'数据-取费表'!G16,0)</f>
        <v>100</v>
      </c>
      <c r="G12" s="526" t="s">
        <v>3007</v>
      </c>
      <c r="H12" s="254">
        <f>ROUND(100/'数据-取费表'!G16,0)</f>
        <v>100</v>
      </c>
      <c r="I12" s="526" t="s">
        <v>3007</v>
      </c>
      <c r="J12" s="254">
        <f>ROUND(100/'数据-取费表'!G16,0)</f>
        <v>100</v>
      </c>
      <c r="K12" s="528"/>
      <c r="L12" s="2136"/>
      <c r="M12" s="2130"/>
      <c r="N12" s="2130"/>
      <c r="O12" s="2137"/>
      <c r="P12" s="3384"/>
      <c r="Q12" s="1147" t="str">
        <f t="shared" si="6"/>
        <v>土地使用年限（年）</v>
      </c>
      <c r="R12" s="1565" t="s">
        <v>8</v>
      </c>
      <c r="S12" s="1566">
        <f t="shared" si="0"/>
        <v>100</v>
      </c>
      <c r="T12" s="1565" t="s">
        <v>8</v>
      </c>
      <c r="U12" s="1566">
        <f t="shared" si="1"/>
        <v>100</v>
      </c>
      <c r="V12" s="1565" t="s">
        <v>8</v>
      </c>
      <c r="W12" s="1566">
        <f t="shared" si="2"/>
        <v>100</v>
      </c>
      <c r="X12" s="1567"/>
      <c r="Y12" s="3341"/>
      <c r="Z12" s="1146" t="str">
        <f t="shared" si="7"/>
        <v>土地使用年限（年）</v>
      </c>
      <c r="AA12" s="1568">
        <f t="shared" si="3"/>
        <v>1</v>
      </c>
      <c r="AB12" s="1568">
        <f t="shared" si="4"/>
        <v>1</v>
      </c>
      <c r="AC12" s="1568">
        <f t="shared" si="5"/>
        <v>1</v>
      </c>
    </row>
    <row r="13" spans="1:30" ht="21" thickBot="1">
      <c r="A13" s="2939"/>
      <c r="B13" s="2943" t="s">
        <v>2767</v>
      </c>
      <c r="C13" s="531">
        <f>'数据-汇总表'!I7</f>
        <v>3.65</v>
      </c>
      <c r="D13" s="254">
        <v>100</v>
      </c>
      <c r="E13" s="530">
        <v>1.8</v>
      </c>
      <c r="F13" s="254">
        <f>LOOKUP(E13,82:82,83:83)-LOOKUP(C13,82:82,83:83)+100</f>
        <v>120</v>
      </c>
      <c r="G13" s="531">
        <v>2.2000000000000002</v>
      </c>
      <c r="H13" s="254">
        <f>LOOKUP(G13,82:82,83:83)-LOOKUP(C13,82:82,83:83)+100</f>
        <v>115</v>
      </c>
      <c r="I13" s="530">
        <v>2.2000000000000002</v>
      </c>
      <c r="J13" s="254">
        <f>LOOKUP(I13,82:82,83:83)-LOOKUP(C13,82:82,83:83)+100</f>
        <v>115</v>
      </c>
      <c r="K13" s="3187">
        <v>5</v>
      </c>
      <c r="L13" s="2138"/>
      <c r="M13" s="2130"/>
      <c r="N13" s="2130"/>
      <c r="O13" s="2139"/>
      <c r="P13" s="3384"/>
      <c r="Q13" s="1147" t="str">
        <f t="shared" si="6"/>
        <v>容积率</v>
      </c>
      <c r="R13" s="1565" t="s">
        <v>8</v>
      </c>
      <c r="S13" s="1566">
        <f t="shared" si="0"/>
        <v>120</v>
      </c>
      <c r="T13" s="1565" t="s">
        <v>8</v>
      </c>
      <c r="U13" s="1566">
        <f t="shared" si="1"/>
        <v>115</v>
      </c>
      <c r="V13" s="1565" t="s">
        <v>8</v>
      </c>
      <c r="W13" s="1566">
        <f t="shared" si="2"/>
        <v>115</v>
      </c>
      <c r="X13" s="1567"/>
      <c r="Y13" s="3341"/>
      <c r="Z13" s="1146" t="str">
        <f t="shared" si="7"/>
        <v>容积率</v>
      </c>
      <c r="AA13" s="1568">
        <f t="shared" si="3"/>
        <v>0.83333333333333337</v>
      </c>
      <c r="AB13" s="1568">
        <f t="shared" si="4"/>
        <v>0.86956521739130432</v>
      </c>
      <c r="AC13" s="1568">
        <f t="shared" si="5"/>
        <v>0.86956521739130432</v>
      </c>
    </row>
    <row r="14" spans="1:30" s="1216" customFormat="1" ht="20.25" hidden="1">
      <c r="A14" s="2936"/>
      <c r="B14" s="2945" t="s">
        <v>2768</v>
      </c>
      <c r="C14" s="2932"/>
      <c r="D14" s="535">
        <v>100</v>
      </c>
      <c r="E14" s="1371"/>
      <c r="F14" s="254">
        <f>SUMIF(84:84,E14,85:85)-SUMIF(84:84,C14,85:85)+100</f>
        <v>100</v>
      </c>
      <c r="G14" s="527"/>
      <c r="H14" s="254">
        <f>SUMIF(84:84,G14,85:85)-SUMIF(84:84,C14,85:85)+100</f>
        <v>100</v>
      </c>
      <c r="I14" s="526"/>
      <c r="J14" s="254">
        <f>SUMIF(84:84,I14,85:85)-SUMIF(84:84,C14,85:85)+100</f>
        <v>100</v>
      </c>
      <c r="K14" s="528"/>
      <c r="L14" s="2133"/>
      <c r="M14" s="2130"/>
      <c r="N14" s="2130"/>
      <c r="O14" s="2135"/>
      <c r="P14" s="3384"/>
      <c r="Q14" s="1147" t="str">
        <f t="shared" si="6"/>
        <v>配建</v>
      </c>
      <c r="R14" s="1565" t="s">
        <v>8</v>
      </c>
      <c r="S14" s="1566">
        <f t="shared" si="0"/>
        <v>100</v>
      </c>
      <c r="T14" s="1565" t="s">
        <v>8</v>
      </c>
      <c r="U14" s="1566">
        <f t="shared" si="1"/>
        <v>100</v>
      </c>
      <c r="V14" s="1565" t="s">
        <v>8</v>
      </c>
      <c r="W14" s="1566">
        <f t="shared" si="2"/>
        <v>100</v>
      </c>
      <c r="X14" s="1567"/>
      <c r="Y14" s="3341"/>
      <c r="Z14" s="1146" t="str">
        <f t="shared" si="7"/>
        <v>配建</v>
      </c>
      <c r="AA14" s="1568">
        <f>D14/F14</f>
        <v>1</v>
      </c>
      <c r="AB14" s="1568">
        <f>D14/H14</f>
        <v>1</v>
      </c>
      <c r="AC14" s="1568">
        <f>D14/J14</f>
        <v>1</v>
      </c>
    </row>
    <row r="15" spans="1:30" ht="20.25" hidden="1">
      <c r="A15" s="2940"/>
      <c r="B15" s="2946">
        <v>111</v>
      </c>
      <c r="C15" s="908"/>
      <c r="D15" s="537">
        <v>100</v>
      </c>
      <c r="E15" s="538"/>
      <c r="F15" s="254">
        <f>SUMIF(86:86,E15,87:87)-SUMIF(86:86,C15,87:87)+100</f>
        <v>100</v>
      </c>
      <c r="G15" s="539"/>
      <c r="H15" s="537">
        <f>SUMIF(86:86,G15,87:87)-SUMIF(86:86,C15,87:87)+100</f>
        <v>100</v>
      </c>
      <c r="I15" s="539"/>
      <c r="J15" s="537">
        <f>SUMIF(86:86,I15,87:87)-SUMIF(86:86,C15,87:87)+100</f>
        <v>100</v>
      </c>
      <c r="K15" s="528"/>
      <c r="L15" s="2140"/>
      <c r="M15" s="2130"/>
      <c r="N15" s="2130"/>
      <c r="O15" s="2139"/>
      <c r="P15" s="3384"/>
      <c r="Q15" s="1147">
        <f t="shared" si="6"/>
        <v>111</v>
      </c>
      <c r="R15" s="1565" t="s">
        <v>8</v>
      </c>
      <c r="S15" s="1566">
        <f t="shared" si="0"/>
        <v>100</v>
      </c>
      <c r="T15" s="1565" t="s">
        <v>8</v>
      </c>
      <c r="U15" s="1566">
        <f t="shared" si="1"/>
        <v>100</v>
      </c>
      <c r="V15" s="1565" t="s">
        <v>8</v>
      </c>
      <c r="W15" s="1566">
        <f t="shared" si="2"/>
        <v>100</v>
      </c>
      <c r="X15" s="1567"/>
      <c r="Y15" s="3341"/>
      <c r="Z15" s="1146">
        <f t="shared" si="7"/>
        <v>111</v>
      </c>
      <c r="AA15" s="1568">
        <f>D15/F15</f>
        <v>1</v>
      </c>
      <c r="AB15" s="1568">
        <f>D15/H15</f>
        <v>1</v>
      </c>
      <c r="AC15" s="1568">
        <f>D15/J15</f>
        <v>1</v>
      </c>
    </row>
    <row r="16" spans="1:30" ht="21" hidden="1" thickBot="1">
      <c r="A16" s="2941"/>
      <c r="B16" s="2947">
        <v>111</v>
      </c>
      <c r="C16" s="911"/>
      <c r="D16" s="543">
        <v>100</v>
      </c>
      <c r="E16" s="538"/>
      <c r="F16" s="543">
        <f>SUMIF(88:88,E16,89:89)-SUMIF(88:88,C16,89:89)+100</f>
        <v>100</v>
      </c>
      <c r="G16" s="539"/>
      <c r="H16" s="543">
        <f>SUMIF(88:88,G16,89:89)-SUMIF(88:88,C16,89:89)+100</f>
        <v>100</v>
      </c>
      <c r="I16" s="539"/>
      <c r="J16" s="543">
        <f>SUMIF(88:88,I16,89:89)-SUMIF(88:88,C16,89:89)+100</f>
        <v>100</v>
      </c>
      <c r="K16" s="528"/>
      <c r="L16" s="2140"/>
      <c r="M16" s="2130"/>
      <c r="N16" s="2130"/>
      <c r="O16" s="2139"/>
      <c r="P16" s="3384"/>
      <c r="Q16" s="1147">
        <f t="shared" si="6"/>
        <v>111</v>
      </c>
      <c r="R16" s="1565" t="s">
        <v>8</v>
      </c>
      <c r="S16" s="1566">
        <f t="shared" si="0"/>
        <v>100</v>
      </c>
      <c r="T16" s="1565" t="s">
        <v>8</v>
      </c>
      <c r="U16" s="1566">
        <f t="shared" si="1"/>
        <v>100</v>
      </c>
      <c r="V16" s="1565" t="s">
        <v>8</v>
      </c>
      <c r="W16" s="1566">
        <f t="shared" si="2"/>
        <v>100</v>
      </c>
      <c r="X16" s="1567"/>
      <c r="Y16" s="3341"/>
      <c r="Z16" s="1146">
        <f t="shared" si="7"/>
        <v>111</v>
      </c>
      <c r="AA16" s="1568">
        <f>D16/F16</f>
        <v>1</v>
      </c>
      <c r="AB16" s="1568">
        <f>D16/H16</f>
        <v>1</v>
      </c>
      <c r="AC16" s="1568">
        <f>D16/J16</f>
        <v>1</v>
      </c>
    </row>
    <row r="17" spans="1:29" ht="99.75">
      <c r="A17" s="2933" t="s">
        <v>2763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2</v>
      </c>
      <c r="L17" s="2140"/>
      <c r="M17" s="2130"/>
      <c r="N17" s="2130"/>
      <c r="O17" s="2139"/>
      <c r="P17" s="3386" t="s">
        <v>541</v>
      </c>
      <c r="Q17" s="1569" t="str">
        <f t="shared" si="6"/>
        <v>居住社区成熟度</v>
      </c>
      <c r="R17" s="1570" t="s">
        <v>8</v>
      </c>
      <c r="S17" s="1571">
        <f t="shared" si="0"/>
        <v>100</v>
      </c>
      <c r="T17" s="1570" t="s">
        <v>8</v>
      </c>
      <c r="U17" s="1571">
        <f t="shared" si="1"/>
        <v>100</v>
      </c>
      <c r="V17" s="1570" t="s">
        <v>8</v>
      </c>
      <c r="W17" s="1571">
        <f t="shared" si="2"/>
        <v>100</v>
      </c>
      <c r="X17" s="1564"/>
      <c r="Y17" s="3386" t="s">
        <v>541</v>
      </c>
      <c r="Z17" s="1572" t="str">
        <f t="shared" si="7"/>
        <v>居住社区成熟度</v>
      </c>
      <c r="AA17" s="1573">
        <f t="shared" si="3"/>
        <v>1</v>
      </c>
      <c r="AB17" s="1573">
        <f t="shared" si="4"/>
        <v>1</v>
      </c>
      <c r="AC17" s="1573">
        <f t="shared" si="5"/>
        <v>1</v>
      </c>
    </row>
    <row r="18" spans="1:29" ht="20.25">
      <c r="A18" s="529"/>
      <c r="B18" s="550"/>
      <c r="C18" s="551" t="s">
        <v>3008</v>
      </c>
      <c r="D18" s="554"/>
      <c r="E18" s="551" t="s">
        <v>3008</v>
      </c>
      <c r="F18" s="552"/>
      <c r="G18" s="551" t="s">
        <v>3008</v>
      </c>
      <c r="H18" s="556"/>
      <c r="I18" s="551" t="s">
        <v>3008</v>
      </c>
      <c r="J18" s="552"/>
      <c r="K18" s="528"/>
      <c r="L18" s="2140"/>
      <c r="M18" s="2130"/>
      <c r="N18" s="2130"/>
      <c r="O18" s="2139"/>
      <c r="P18" s="3387"/>
      <c r="Q18" s="1569"/>
      <c r="R18" s="1570"/>
      <c r="S18" s="1571"/>
      <c r="T18" s="1570"/>
      <c r="U18" s="1571"/>
      <c r="V18" s="1570"/>
      <c r="W18" s="1571"/>
      <c r="X18" s="1564"/>
      <c r="Y18" s="3387"/>
      <c r="Z18" s="1572"/>
      <c r="AA18" s="1573">
        <v>1</v>
      </c>
      <c r="AB18" s="1573">
        <v>1</v>
      </c>
      <c r="AC18" s="1573">
        <v>1</v>
      </c>
    </row>
    <row r="19" spans="1:29" ht="71.25">
      <c r="A19" s="529"/>
      <c r="B19" s="557" t="s">
        <v>542</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2</v>
      </c>
      <c r="L19" s="2140"/>
      <c r="M19" s="2130"/>
      <c r="N19" s="2130"/>
      <c r="O19" s="2139"/>
      <c r="P19" s="3387"/>
      <c r="Q19" s="1569" t="str">
        <f>B19</f>
        <v>商业繁华度</v>
      </c>
      <c r="R19" s="1570" t="s">
        <v>8</v>
      </c>
      <c r="S19" s="1571">
        <f>F19</f>
        <v>100</v>
      </c>
      <c r="T19" s="1570" t="s">
        <v>8</v>
      </c>
      <c r="U19" s="1571">
        <f>H19</f>
        <v>100</v>
      </c>
      <c r="V19" s="1570" t="s">
        <v>8</v>
      </c>
      <c r="W19" s="1571">
        <f>J19</f>
        <v>100</v>
      </c>
      <c r="X19" s="1564"/>
      <c r="Y19" s="3387"/>
      <c r="Z19" s="1572" t="str">
        <f>Q19</f>
        <v>商业繁华度</v>
      </c>
      <c r="AA19" s="1573">
        <f t="shared" si="3"/>
        <v>1</v>
      </c>
      <c r="AB19" s="1573">
        <f t="shared" si="4"/>
        <v>1</v>
      </c>
      <c r="AC19" s="1573">
        <f t="shared" si="5"/>
        <v>1</v>
      </c>
    </row>
    <row r="20" spans="1:29" ht="20.25">
      <c r="A20" s="529"/>
      <c r="B20" s="563"/>
      <c r="C20" s="564" t="s">
        <v>3008</v>
      </c>
      <c r="D20" s="560"/>
      <c r="E20" s="551" t="s">
        <v>3008</v>
      </c>
      <c r="F20" s="556"/>
      <c r="G20" s="551" t="s">
        <v>3008</v>
      </c>
      <c r="H20" s="552"/>
      <c r="I20" s="551" t="s">
        <v>3008</v>
      </c>
      <c r="J20" s="552"/>
      <c r="K20" s="528"/>
      <c r="L20" s="2140"/>
      <c r="M20" s="2130"/>
      <c r="N20" s="2130"/>
      <c r="O20" s="2139"/>
      <c r="P20" s="3387"/>
      <c r="Q20" s="1569"/>
      <c r="R20" s="1570"/>
      <c r="S20" s="1571"/>
      <c r="T20" s="1570"/>
      <c r="U20" s="1571"/>
      <c r="V20" s="1570"/>
      <c r="W20" s="1571"/>
      <c r="X20" s="1564"/>
      <c r="Y20" s="3387"/>
      <c r="Z20" s="1572"/>
      <c r="AA20" s="1573">
        <v>1</v>
      </c>
      <c r="AB20" s="1573">
        <v>1</v>
      </c>
      <c r="AC20" s="1573">
        <v>1</v>
      </c>
    </row>
    <row r="21" spans="1:29" ht="71.25">
      <c r="A21" s="529"/>
      <c r="B21" s="557" t="s">
        <v>543</v>
      </c>
      <c r="C21" s="558" t="str">
        <f>估价对象房地状况!C17</f>
        <v>估价对象位于XX商圈，周边办公楼项目较多，入驻率高，办公集聚程度较好</v>
      </c>
      <c r="D21" s="568">
        <v>100</v>
      </c>
      <c r="E21" s="569"/>
      <c r="F21" s="562">
        <f>SUMIF(94:94,E22,95:95)-SUMIF(94:94,C22,95:95)+100</f>
        <v>98</v>
      </c>
      <c r="G21" s="567"/>
      <c r="H21" s="556">
        <f>SUMIF(94:94,G22,95:95)-SUMIF(94:94,C22,95:95)+100</f>
        <v>98</v>
      </c>
      <c r="I21" s="569"/>
      <c r="J21" s="556">
        <f>SUMIF(94:94,I22,95:95)-SUMIF(94:94,C22,95:95)+100</f>
        <v>98</v>
      </c>
      <c r="K21" s="532">
        <v>2</v>
      </c>
      <c r="L21" s="2140"/>
      <c r="M21" s="2130"/>
      <c r="N21" s="2130"/>
      <c r="O21" s="2139"/>
      <c r="P21" s="3387"/>
      <c r="Q21" s="1569" t="str">
        <f>B21</f>
        <v>办公集聚程度</v>
      </c>
      <c r="R21" s="1570" t="s">
        <v>8</v>
      </c>
      <c r="S21" s="1571">
        <f>F21</f>
        <v>98</v>
      </c>
      <c r="T21" s="1570" t="s">
        <v>8</v>
      </c>
      <c r="U21" s="1571">
        <f>H21</f>
        <v>98</v>
      </c>
      <c r="V21" s="1570" t="s">
        <v>8</v>
      </c>
      <c r="W21" s="1571">
        <f>J21</f>
        <v>98</v>
      </c>
      <c r="X21" s="1564"/>
      <c r="Y21" s="3387"/>
      <c r="Z21" s="1572" t="str">
        <f>Q21</f>
        <v>办公集聚程度</v>
      </c>
      <c r="AA21" s="1573">
        <f t="shared" si="3"/>
        <v>1.0204081632653061</v>
      </c>
      <c r="AB21" s="1573">
        <f t="shared" si="4"/>
        <v>1.0204081632653061</v>
      </c>
      <c r="AC21" s="1573">
        <f t="shared" si="5"/>
        <v>1.0204081632653061</v>
      </c>
    </row>
    <row r="22" spans="1:29" ht="20.25">
      <c r="A22" s="529"/>
      <c r="B22" s="563"/>
      <c r="C22" s="551" t="s">
        <v>3009</v>
      </c>
      <c r="D22" s="554"/>
      <c r="E22" s="551" t="s">
        <v>3008</v>
      </c>
      <c r="F22" s="552"/>
      <c r="G22" s="551" t="s">
        <v>3008</v>
      </c>
      <c r="H22" s="552"/>
      <c r="I22" s="551" t="s">
        <v>3008</v>
      </c>
      <c r="J22" s="552"/>
      <c r="K22" s="528"/>
      <c r="L22" s="2140"/>
      <c r="M22" s="2130"/>
      <c r="N22" s="2130"/>
      <c r="O22" s="2139"/>
      <c r="P22" s="3387"/>
      <c r="Q22" s="1569"/>
      <c r="R22" s="1570"/>
      <c r="S22" s="1571"/>
      <c r="T22" s="1570"/>
      <c r="U22" s="1571"/>
      <c r="V22" s="1570"/>
      <c r="W22" s="1571"/>
      <c r="X22" s="1564"/>
      <c r="Y22" s="3387"/>
      <c r="Z22" s="1572"/>
      <c r="AA22" s="1573">
        <v>1</v>
      </c>
      <c r="AB22" s="1573">
        <v>1</v>
      </c>
      <c r="AC22" s="1573">
        <v>1</v>
      </c>
    </row>
    <row r="23" spans="1:29" ht="85.5">
      <c r="A23" s="529"/>
      <c r="B23" s="557" t="s">
        <v>544</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40"/>
      <c r="M23" s="2130"/>
      <c r="N23" s="2130"/>
      <c r="O23" s="2139"/>
      <c r="P23" s="3387"/>
      <c r="Q23" s="1569" t="str">
        <f>B23</f>
        <v>交通便捷度</v>
      </c>
      <c r="R23" s="1570" t="s">
        <v>8</v>
      </c>
      <c r="S23" s="1571">
        <f>F23</f>
        <v>100</v>
      </c>
      <c r="T23" s="1570" t="s">
        <v>8</v>
      </c>
      <c r="U23" s="1571">
        <f>H23</f>
        <v>100</v>
      </c>
      <c r="V23" s="1570" t="s">
        <v>8</v>
      </c>
      <c r="W23" s="1571">
        <f>J23</f>
        <v>100</v>
      </c>
      <c r="X23" s="1564"/>
      <c r="Y23" s="3387"/>
      <c r="Z23" s="1572" t="str">
        <f>Q23</f>
        <v>交通便捷度</v>
      </c>
      <c r="AA23" s="1573">
        <f t="shared" si="3"/>
        <v>1</v>
      </c>
      <c r="AB23" s="1573">
        <f t="shared" si="4"/>
        <v>1</v>
      </c>
      <c r="AC23" s="1573">
        <f t="shared" si="5"/>
        <v>1</v>
      </c>
    </row>
    <row r="24" spans="1:29" ht="20.25">
      <c r="A24" s="529"/>
      <c r="B24" s="575"/>
      <c r="C24" s="551" t="s">
        <v>3009</v>
      </c>
      <c r="D24" s="554"/>
      <c r="E24" s="576" t="s">
        <v>3009</v>
      </c>
      <c r="F24" s="552"/>
      <c r="G24" s="576" t="s">
        <v>3009</v>
      </c>
      <c r="H24" s="552"/>
      <c r="I24" s="576" t="s">
        <v>3009</v>
      </c>
      <c r="J24" s="552"/>
      <c r="K24" s="528"/>
      <c r="L24" s="2140"/>
      <c r="M24" s="2130"/>
      <c r="N24" s="2130"/>
      <c r="O24" s="2139"/>
      <c r="P24" s="3387"/>
      <c r="Q24" s="1569"/>
      <c r="R24" s="1570"/>
      <c r="S24" s="1571"/>
      <c r="T24" s="1570"/>
      <c r="U24" s="1571"/>
      <c r="V24" s="1570"/>
      <c r="W24" s="1571"/>
      <c r="X24" s="1564"/>
      <c r="Y24" s="3387"/>
      <c r="Z24" s="1572"/>
      <c r="AA24" s="1573">
        <v>1</v>
      </c>
      <c r="AB24" s="1573">
        <v>1</v>
      </c>
      <c r="AC24" s="1573">
        <v>1</v>
      </c>
    </row>
    <row r="25" spans="1:29" ht="27">
      <c r="A25" s="512"/>
      <c r="B25" s="258" t="s">
        <v>545</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1</v>
      </c>
      <c r="L25" s="2140"/>
      <c r="M25" s="2130"/>
      <c r="N25" s="2130"/>
      <c r="O25" s="2139"/>
      <c r="P25" s="3387"/>
      <c r="Q25" s="1569" t="str">
        <f t="shared" ref="Q25:Q39" si="8">B25</f>
        <v>区域土地利用方向</v>
      </c>
      <c r="R25" s="1570" t="s">
        <v>8</v>
      </c>
      <c r="S25" s="1571">
        <f>F25</f>
        <v>100</v>
      </c>
      <c r="T25" s="1570" t="s">
        <v>8</v>
      </c>
      <c r="U25" s="1571">
        <f>H25</f>
        <v>100</v>
      </c>
      <c r="V25" s="1570" t="s">
        <v>8</v>
      </c>
      <c r="W25" s="1571">
        <f>J25</f>
        <v>100</v>
      </c>
      <c r="X25" s="1564"/>
      <c r="Y25" s="3387"/>
      <c r="Z25" s="1572" t="str">
        <f>Q25</f>
        <v>区域土地利用方向</v>
      </c>
      <c r="AA25" s="1573">
        <f t="shared" si="3"/>
        <v>1</v>
      </c>
      <c r="AB25" s="1573">
        <f t="shared" si="4"/>
        <v>1</v>
      </c>
      <c r="AC25" s="1573">
        <f t="shared" si="5"/>
        <v>1</v>
      </c>
    </row>
    <row r="26" spans="1:29" ht="20.25">
      <c r="A26" s="512"/>
      <c r="B26" s="1003"/>
      <c r="C26" s="551" t="s">
        <v>3008</v>
      </c>
      <c r="D26" s="554"/>
      <c r="E26" s="551" t="s">
        <v>3008</v>
      </c>
      <c r="F26" s="552"/>
      <c r="G26" s="551" t="s">
        <v>3008</v>
      </c>
      <c r="H26" s="552"/>
      <c r="I26" s="551" t="s">
        <v>3008</v>
      </c>
      <c r="J26" s="552"/>
      <c r="K26" s="528"/>
      <c r="L26" s="2140"/>
      <c r="M26" s="2130"/>
      <c r="N26" s="2130"/>
      <c r="O26" s="2139"/>
      <c r="P26" s="3387"/>
      <c r="Q26" s="1569"/>
      <c r="R26" s="1570"/>
      <c r="S26" s="1571"/>
      <c r="T26" s="1570"/>
      <c r="U26" s="1571"/>
      <c r="V26" s="1570"/>
      <c r="W26" s="1571"/>
      <c r="X26" s="1564"/>
      <c r="Y26" s="3387"/>
      <c r="Z26" s="1572"/>
      <c r="AA26" s="1573"/>
      <c r="AB26" s="1573"/>
      <c r="AC26" s="1573"/>
    </row>
    <row r="27" spans="1:29" ht="57">
      <c r="A27" s="512"/>
      <c r="B27" s="575" t="s">
        <v>546</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40"/>
      <c r="M27" s="2130"/>
      <c r="N27" s="2130"/>
      <c r="O27" s="2139"/>
      <c r="P27" s="3387"/>
      <c r="Q27" s="1569" t="str">
        <f t="shared" si="8"/>
        <v>自然及人文环境状况</v>
      </c>
      <c r="R27" s="1570" t="s">
        <v>8</v>
      </c>
      <c r="S27" s="1571">
        <f>F27</f>
        <v>100</v>
      </c>
      <c r="T27" s="1570" t="s">
        <v>8</v>
      </c>
      <c r="U27" s="1571">
        <f>H27</f>
        <v>100</v>
      </c>
      <c r="V27" s="1570" t="s">
        <v>8</v>
      </c>
      <c r="W27" s="1571">
        <f>J27</f>
        <v>100</v>
      </c>
      <c r="X27" s="1564"/>
      <c r="Y27" s="3387"/>
      <c r="Z27" s="1572" t="str">
        <f>Q27</f>
        <v>自然及人文环境状况</v>
      </c>
      <c r="AA27" s="1573">
        <f t="shared" si="3"/>
        <v>1</v>
      </c>
      <c r="AB27" s="1573">
        <f t="shared" si="4"/>
        <v>1</v>
      </c>
      <c r="AC27" s="1573">
        <f t="shared" si="5"/>
        <v>1</v>
      </c>
    </row>
    <row r="28" spans="1:29" ht="20.25">
      <c r="A28" s="512"/>
      <c r="B28" s="563"/>
      <c r="C28" s="551" t="s">
        <v>3009</v>
      </c>
      <c r="D28" s="554"/>
      <c r="E28" s="576" t="s">
        <v>3009</v>
      </c>
      <c r="F28" s="552"/>
      <c r="G28" s="576" t="s">
        <v>3009</v>
      </c>
      <c r="H28" s="552"/>
      <c r="I28" s="576" t="s">
        <v>3009</v>
      </c>
      <c r="J28" s="552"/>
      <c r="K28" s="528"/>
      <c r="L28" s="2140"/>
      <c r="M28" s="2130"/>
      <c r="N28" s="2130"/>
      <c r="O28" s="2139"/>
      <c r="P28" s="3387"/>
      <c r="Q28" s="1569"/>
      <c r="R28" s="1570"/>
      <c r="S28" s="1571"/>
      <c r="T28" s="1570"/>
      <c r="U28" s="1571"/>
      <c r="V28" s="1570"/>
      <c r="W28" s="1571"/>
      <c r="X28" s="1564"/>
      <c r="Y28" s="3387"/>
      <c r="Z28" s="1572"/>
      <c r="AA28" s="1573">
        <v>1</v>
      </c>
      <c r="AB28" s="1573">
        <v>1</v>
      </c>
      <c r="AC28" s="1573">
        <v>1</v>
      </c>
    </row>
    <row r="29" spans="1:29" s="1216" customFormat="1" ht="42.75">
      <c r="A29" s="574"/>
      <c r="B29" s="2613" t="s">
        <v>2555</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1</v>
      </c>
      <c r="L29" s="2133"/>
      <c r="M29" s="2130"/>
      <c r="N29" s="2130"/>
      <c r="O29" s="2135"/>
      <c r="P29" s="3387"/>
      <c r="Q29" s="1147" t="str">
        <f t="shared" si="8"/>
        <v>公共配套设施</v>
      </c>
      <c r="R29" s="1565" t="s">
        <v>8</v>
      </c>
      <c r="S29" s="1566">
        <f>F29</f>
        <v>100</v>
      </c>
      <c r="T29" s="1565" t="s">
        <v>8</v>
      </c>
      <c r="U29" s="1566">
        <f>H29</f>
        <v>100</v>
      </c>
      <c r="V29" s="1565" t="s">
        <v>8</v>
      </c>
      <c r="W29" s="1566">
        <f>J29</f>
        <v>100</v>
      </c>
      <c r="X29" s="1567"/>
      <c r="Y29" s="3387"/>
      <c r="Z29" s="1146" t="str">
        <f>Q29</f>
        <v>公共配套设施</v>
      </c>
      <c r="AA29" s="1573">
        <f>D29/F29</f>
        <v>1</v>
      </c>
      <c r="AB29" s="1573">
        <f>D29/H29</f>
        <v>1</v>
      </c>
      <c r="AC29" s="1573">
        <f>D29/J29</f>
        <v>1</v>
      </c>
    </row>
    <row r="30" spans="1:29" s="1216" customFormat="1" ht="20.25">
      <c r="A30" s="574"/>
      <c r="B30" s="563"/>
      <c r="C30" s="576" t="s">
        <v>3009</v>
      </c>
      <c r="D30" s="554"/>
      <c r="E30" s="576" t="s">
        <v>3009</v>
      </c>
      <c r="F30" s="552"/>
      <c r="G30" s="576" t="s">
        <v>3009</v>
      </c>
      <c r="H30" s="552"/>
      <c r="I30" s="576" t="s">
        <v>3009</v>
      </c>
      <c r="J30" s="552"/>
      <c r="K30" s="528"/>
      <c r="L30" s="2133"/>
      <c r="M30" s="2130"/>
      <c r="N30" s="2130"/>
      <c r="O30" s="2135"/>
      <c r="P30" s="3387"/>
      <c r="Q30" s="1147"/>
      <c r="R30" s="1565"/>
      <c r="S30" s="1566"/>
      <c r="T30" s="1565"/>
      <c r="U30" s="1566"/>
      <c r="V30" s="1565"/>
      <c r="W30" s="1566"/>
      <c r="X30" s="1567"/>
      <c r="Y30" s="3387"/>
      <c r="Z30" s="1146"/>
      <c r="AA30" s="1573">
        <v>1</v>
      </c>
      <c r="AB30" s="1573">
        <v>1</v>
      </c>
      <c r="AC30" s="1573">
        <v>1</v>
      </c>
    </row>
    <row r="31" spans="1:29" s="1216" customFormat="1" ht="28.5">
      <c r="A31" s="574"/>
      <c r="B31" s="2613" t="s">
        <v>2556</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33"/>
      <c r="M31" s="2130"/>
      <c r="N31" s="2130"/>
      <c r="O31" s="2135"/>
      <c r="P31" s="3387"/>
      <c r="Q31" s="2600" t="str">
        <f t="shared" ref="Q31" si="9">B31</f>
        <v>基础设施水平</v>
      </c>
      <c r="R31" s="1565" t="s">
        <v>8</v>
      </c>
      <c r="S31" s="1566">
        <f>F31</f>
        <v>100</v>
      </c>
      <c r="T31" s="1565" t="s">
        <v>8</v>
      </c>
      <c r="U31" s="1566">
        <f>H31</f>
        <v>100</v>
      </c>
      <c r="V31" s="1565" t="s">
        <v>8</v>
      </c>
      <c r="W31" s="1566">
        <f>J31</f>
        <v>100</v>
      </c>
      <c r="X31" s="1567"/>
      <c r="Y31" s="3387"/>
      <c r="Z31" s="2597" t="str">
        <f>Q31</f>
        <v>基础设施水平</v>
      </c>
      <c r="AA31" s="1573">
        <f>D31/F31</f>
        <v>1</v>
      </c>
      <c r="AB31" s="1573">
        <f>D31/H31</f>
        <v>1</v>
      </c>
      <c r="AC31" s="1573">
        <f>D31/J31</f>
        <v>1</v>
      </c>
    </row>
    <row r="32" spans="1:29" s="1216" customFormat="1" ht="20.25">
      <c r="A32" s="574"/>
      <c r="B32" s="563"/>
      <c r="C32" s="3168" t="s">
        <v>3010</v>
      </c>
      <c r="D32" s="554"/>
      <c r="E32" s="3168" t="s">
        <v>3010</v>
      </c>
      <c r="F32" s="552"/>
      <c r="G32" s="3168" t="s">
        <v>3010</v>
      </c>
      <c r="H32" s="552"/>
      <c r="I32" s="3168" t="s">
        <v>3010</v>
      </c>
      <c r="J32" s="552"/>
      <c r="K32" s="528"/>
      <c r="L32" s="2133"/>
      <c r="M32" s="2130"/>
      <c r="N32" s="2130"/>
      <c r="O32" s="2135"/>
      <c r="P32" s="3387"/>
      <c r="Q32" s="2600"/>
      <c r="R32" s="1565"/>
      <c r="S32" s="1566"/>
      <c r="T32" s="1565"/>
      <c r="U32" s="1566"/>
      <c r="V32" s="1565"/>
      <c r="W32" s="1566"/>
      <c r="X32" s="1567"/>
      <c r="Y32" s="3387"/>
      <c r="Z32" s="2597"/>
      <c r="AA32" s="1573">
        <v>1</v>
      </c>
      <c r="AB32" s="1573">
        <v>1</v>
      </c>
      <c r="AC32" s="1573">
        <v>1</v>
      </c>
    </row>
    <row r="33" spans="1:29" ht="20.25">
      <c r="A33" s="529"/>
      <c r="B33" s="563" t="s">
        <v>548</v>
      </c>
      <c r="C33" s="577" t="s">
        <v>3011</v>
      </c>
      <c r="D33" s="572">
        <v>100</v>
      </c>
      <c r="E33" s="577" t="s">
        <v>3011</v>
      </c>
      <c r="F33" s="537">
        <f>SUMIF(106:106,E33,107:107)-SUMIF(106:106,C33,107:107)+100</f>
        <v>100</v>
      </c>
      <c r="G33" s="577" t="s">
        <v>3011</v>
      </c>
      <c r="H33" s="537">
        <f>SUMIF(106:106,G33,107:107)-SUMIF(106:106,C33,107:107)+100</f>
        <v>100</v>
      </c>
      <c r="I33" s="577" t="s">
        <v>3011</v>
      </c>
      <c r="J33" s="537">
        <f>SUMIF(106:106,I33,107:107)-SUMIF(106:106,C33,107:107)+100</f>
        <v>100</v>
      </c>
      <c r="K33" s="532">
        <v>1</v>
      </c>
      <c r="L33" s="2140"/>
      <c r="M33" s="2130"/>
      <c r="N33" s="2130"/>
      <c r="O33" s="2139"/>
      <c r="P33" s="338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87"/>
      <c r="Z33" s="1572" t="str">
        <f t="shared" ref="Z33:Z47" si="13">Q33</f>
        <v>临街状况</v>
      </c>
      <c r="AA33" s="1573">
        <f t="shared" si="3"/>
        <v>1</v>
      </c>
      <c r="AB33" s="1573">
        <f t="shared" si="4"/>
        <v>1</v>
      </c>
      <c r="AC33" s="1573">
        <f t="shared" si="5"/>
        <v>1</v>
      </c>
    </row>
    <row r="34" spans="1:29" ht="27">
      <c r="A34" s="529"/>
      <c r="B34" s="575" t="s">
        <v>549</v>
      </c>
      <c r="C34" s="559"/>
      <c r="D34" s="560">
        <v>100</v>
      </c>
      <c r="E34" s="559"/>
      <c r="F34" s="556">
        <f>SUMIF(108:108,E35,109:109)-SUMIF(108:108,C35,109:109)+100</f>
        <v>100</v>
      </c>
      <c r="G34" s="559"/>
      <c r="H34" s="556">
        <f>SUMIF(108:108,G35,109:109)-SUMIF(108:108,C35,109:109)+100</f>
        <v>100</v>
      </c>
      <c r="I34" s="559"/>
      <c r="J34" s="556">
        <f>SUMIF(108:108,I35,109:109)-SUMIF(108:108,C35,109:109)+100</f>
        <v>100</v>
      </c>
      <c r="K34" s="532">
        <v>1</v>
      </c>
      <c r="L34" s="2140"/>
      <c r="M34" s="2130"/>
      <c r="N34" s="2130"/>
      <c r="O34" s="2139"/>
      <c r="P34" s="3387"/>
      <c r="Q34" s="1569" t="str">
        <f t="shared" si="8"/>
        <v>毗邻道路的类型与等级</v>
      </c>
      <c r="R34" s="1570" t="s">
        <v>8</v>
      </c>
      <c r="S34" s="1571">
        <f t="shared" si="10"/>
        <v>100</v>
      </c>
      <c r="T34" s="1570" t="s">
        <v>8</v>
      </c>
      <c r="U34" s="1571">
        <f t="shared" si="11"/>
        <v>100</v>
      </c>
      <c r="V34" s="1570" t="s">
        <v>8</v>
      </c>
      <c r="W34" s="1571">
        <f t="shared" si="12"/>
        <v>100</v>
      </c>
      <c r="X34" s="1564"/>
      <c r="Y34" s="3387"/>
      <c r="Z34" s="1572" t="str">
        <f t="shared" si="13"/>
        <v>毗邻道路的类型与等级</v>
      </c>
      <c r="AA34" s="1573">
        <f t="shared" si="3"/>
        <v>1</v>
      </c>
      <c r="AB34" s="1573">
        <f t="shared" si="4"/>
        <v>1</v>
      </c>
      <c r="AC34" s="1573">
        <f t="shared" si="5"/>
        <v>1</v>
      </c>
    </row>
    <row r="35" spans="1:29" ht="21" thickBot="1">
      <c r="A35" s="529"/>
      <c r="B35" s="563"/>
      <c r="C35" s="3169" t="s">
        <v>3012</v>
      </c>
      <c r="D35" s="554"/>
      <c r="E35" s="3169" t="s">
        <v>3012</v>
      </c>
      <c r="F35" s="552"/>
      <c r="G35" s="3169" t="s">
        <v>3012</v>
      </c>
      <c r="H35" s="552"/>
      <c r="I35" s="3169" t="s">
        <v>3012</v>
      </c>
      <c r="J35" s="552"/>
      <c r="K35" s="578"/>
      <c r="L35" s="2140"/>
      <c r="M35" s="2130"/>
      <c r="N35" s="2130"/>
      <c r="O35" s="2139"/>
      <c r="P35" s="3387"/>
      <c r="Q35" s="1569"/>
      <c r="R35" s="1570"/>
      <c r="S35" s="1571"/>
      <c r="T35" s="1570"/>
      <c r="U35" s="1571"/>
      <c r="V35" s="1570"/>
      <c r="W35" s="1571"/>
      <c r="X35" s="1564"/>
      <c r="Y35" s="3387"/>
      <c r="Z35" s="1572"/>
      <c r="AA35" s="1573">
        <v>1</v>
      </c>
      <c r="AB35" s="1573">
        <v>1</v>
      </c>
      <c r="AC35" s="1573">
        <v>1</v>
      </c>
    </row>
    <row r="36" spans="1:29" ht="20.25" hidden="1">
      <c r="A36" s="529"/>
      <c r="B36" s="579" t="s">
        <v>550</v>
      </c>
      <c r="C36" s="3170" t="s">
        <v>3013</v>
      </c>
      <c r="D36" s="572">
        <v>100</v>
      </c>
      <c r="E36" s="580"/>
      <c r="F36" s="537">
        <f>SUMIF(110:110,E36,111:111)-SUMIF(110:110,C36,111:111)+100</f>
        <v>100</v>
      </c>
      <c r="G36" s="577"/>
      <c r="H36" s="537">
        <f>SUMIF(110:110,G36,111:111)-SUMIF(110:110,C36,111:111)+100</f>
        <v>100</v>
      </c>
      <c r="I36" s="580"/>
      <c r="J36" s="537">
        <f>SUMIF(110:110,I36,111:111)-SUMIF(110:110,C36,111:111)+100</f>
        <v>100</v>
      </c>
      <c r="K36" s="581"/>
      <c r="L36" s="2140"/>
      <c r="M36" s="2130"/>
      <c r="N36" s="2130"/>
      <c r="O36" s="2139"/>
      <c r="P36" s="3387"/>
      <c r="Q36" s="1569" t="str">
        <f t="shared" si="8"/>
        <v>土地级别</v>
      </c>
      <c r="R36" s="1570" t="s">
        <v>8</v>
      </c>
      <c r="S36" s="1571">
        <f t="shared" si="10"/>
        <v>100</v>
      </c>
      <c r="T36" s="1570" t="s">
        <v>8</v>
      </c>
      <c r="U36" s="1571">
        <f t="shared" si="11"/>
        <v>100</v>
      </c>
      <c r="V36" s="1570" t="s">
        <v>8</v>
      </c>
      <c r="W36" s="1571">
        <f t="shared" si="12"/>
        <v>100</v>
      </c>
      <c r="X36" s="1564"/>
      <c r="Y36" s="3387"/>
      <c r="Z36" s="1572" t="str">
        <f t="shared" si="13"/>
        <v>土地级别</v>
      </c>
      <c r="AA36" s="1573">
        <f t="shared" si="3"/>
        <v>1</v>
      </c>
      <c r="AB36" s="1573">
        <f t="shared" si="4"/>
        <v>1</v>
      </c>
      <c r="AC36" s="1573">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0"/>
      <c r="M37" s="2130"/>
      <c r="N37" s="2130"/>
      <c r="O37" s="2139"/>
      <c r="P37" s="3387"/>
      <c r="Q37" s="1569">
        <f t="shared" si="8"/>
        <v>111</v>
      </c>
      <c r="R37" s="1570" t="s">
        <v>8</v>
      </c>
      <c r="S37" s="1571">
        <f t="shared" si="10"/>
        <v>100</v>
      </c>
      <c r="T37" s="1570" t="s">
        <v>8</v>
      </c>
      <c r="U37" s="1571">
        <f t="shared" si="11"/>
        <v>100</v>
      </c>
      <c r="V37" s="1570" t="s">
        <v>8</v>
      </c>
      <c r="W37" s="1571">
        <f t="shared" si="12"/>
        <v>100</v>
      </c>
      <c r="X37" s="1564"/>
      <c r="Y37" s="3387"/>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0"/>
      <c r="M38" s="2130"/>
      <c r="N38" s="2130"/>
      <c r="O38" s="2139"/>
      <c r="P38" s="3388" t="s">
        <v>551</v>
      </c>
      <c r="Q38" s="1569">
        <f t="shared" si="8"/>
        <v>111</v>
      </c>
      <c r="R38" s="1570" t="s">
        <v>8</v>
      </c>
      <c r="S38" s="1571">
        <f t="shared" si="10"/>
        <v>100</v>
      </c>
      <c r="T38" s="1570" t="s">
        <v>8</v>
      </c>
      <c r="U38" s="1571">
        <f t="shared" si="11"/>
        <v>100</v>
      </c>
      <c r="V38" s="1570" t="s">
        <v>8</v>
      </c>
      <c r="W38" s="1571">
        <f t="shared" si="12"/>
        <v>100</v>
      </c>
      <c r="X38" s="1564"/>
      <c r="Y38" s="3389" t="s">
        <v>551</v>
      </c>
      <c r="Z38" s="1572">
        <f t="shared" si="13"/>
        <v>111</v>
      </c>
      <c r="AA38" s="1573">
        <f t="shared" si="3"/>
        <v>1</v>
      </c>
      <c r="AB38" s="1573">
        <f t="shared" si="4"/>
        <v>1</v>
      </c>
      <c r="AC38" s="1573">
        <f t="shared" si="5"/>
        <v>1</v>
      </c>
    </row>
    <row r="39" spans="1:29" s="1335"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8"/>
      <c r="M39" s="2130"/>
      <c r="N39" s="2130"/>
      <c r="O39" s="2141"/>
      <c r="P39" s="3389"/>
      <c r="Q39" s="1569">
        <f t="shared" si="8"/>
        <v>111</v>
      </c>
      <c r="R39" s="1574" t="s">
        <v>8</v>
      </c>
      <c r="S39" s="1575">
        <f t="shared" si="10"/>
        <v>100</v>
      </c>
      <c r="T39" s="1574" t="s">
        <v>8</v>
      </c>
      <c r="U39" s="1575">
        <f t="shared" si="11"/>
        <v>100</v>
      </c>
      <c r="V39" s="1574" t="s">
        <v>8</v>
      </c>
      <c r="W39" s="1575">
        <f t="shared" si="12"/>
        <v>100</v>
      </c>
      <c r="X39" s="1576"/>
      <c r="Y39" s="3389"/>
      <c r="Z39" s="1577">
        <f t="shared" si="13"/>
        <v>111</v>
      </c>
      <c r="AA39" s="1573">
        <f t="shared" si="3"/>
        <v>1</v>
      </c>
      <c r="AB39" s="1573">
        <f t="shared" si="4"/>
        <v>1</v>
      </c>
      <c r="AC39" s="1573">
        <f t="shared" si="5"/>
        <v>1</v>
      </c>
    </row>
    <row r="40" spans="1:29" ht="20.25">
      <c r="A40" s="2931" t="s">
        <v>2764</v>
      </c>
      <c r="B40" s="592" t="s">
        <v>553</v>
      </c>
      <c r="C40" s="593">
        <f>'数据-汇总表'!D3</f>
        <v>37378.1</v>
      </c>
      <c r="D40" s="594">
        <v>100</v>
      </c>
      <c r="E40" s="593">
        <v>49189.2</v>
      </c>
      <c r="F40" s="594">
        <f>LOOKUP(E40,119:119,120:120)-LOOKUP(C40,119:119,120:120)+100</f>
        <v>100</v>
      </c>
      <c r="G40" s="593">
        <v>74195.899999999994</v>
      </c>
      <c r="H40" s="594">
        <f>LOOKUP(G40,119:119,120:120)-LOOKUP(C40,119:119,120:120)+100</f>
        <v>102</v>
      </c>
      <c r="I40" s="595">
        <v>40816.9</v>
      </c>
      <c r="J40" s="594">
        <f>LOOKUP(I40,119:119,120:120)-LOOKUP(C40,119:119,120:120)+100</f>
        <v>100</v>
      </c>
      <c r="K40" s="578"/>
      <c r="L40" s="2140"/>
      <c r="M40" s="2130"/>
      <c r="N40" s="2130"/>
      <c r="O40" s="2139"/>
      <c r="P40" s="3389"/>
      <c r="Q40" s="1569" t="str">
        <f>B40</f>
        <v>宗地面积</v>
      </c>
      <c r="R40" s="1570" t="s">
        <v>8</v>
      </c>
      <c r="S40" s="1571">
        <f t="shared" si="10"/>
        <v>100</v>
      </c>
      <c r="T40" s="1570" t="s">
        <v>8</v>
      </c>
      <c r="U40" s="1571">
        <f t="shared" si="11"/>
        <v>102</v>
      </c>
      <c r="V40" s="1570" t="s">
        <v>8</v>
      </c>
      <c r="W40" s="1571">
        <f t="shared" si="12"/>
        <v>100</v>
      </c>
      <c r="X40" s="1564"/>
      <c r="Y40" s="3389"/>
      <c r="Z40" s="1572" t="str">
        <f t="shared" si="13"/>
        <v>宗地面积</v>
      </c>
      <c r="AA40" s="1573">
        <f t="shared" si="3"/>
        <v>1</v>
      </c>
      <c r="AB40" s="1573">
        <f t="shared" si="4"/>
        <v>0.98039215686274506</v>
      </c>
      <c r="AC40" s="1573">
        <f t="shared" si="5"/>
        <v>1</v>
      </c>
    </row>
    <row r="41" spans="1:29" ht="20.25">
      <c r="A41" s="591"/>
      <c r="B41" s="524" t="s">
        <v>554</v>
      </c>
      <c r="C41" s="3171" t="s">
        <v>3014</v>
      </c>
      <c r="D41" s="537">
        <v>100</v>
      </c>
      <c r="E41" s="3171" t="s">
        <v>3014</v>
      </c>
      <c r="F41" s="537">
        <f>SUMIF(121:121,E41,122:122)-SUMIF(121:121,C41,122:122)+100</f>
        <v>100</v>
      </c>
      <c r="G41" s="3171" t="s">
        <v>3014</v>
      </c>
      <c r="H41" s="537">
        <f>SUMIF(121:121,G41,122:122)-SUMIF(121:121,C41,122:122)+100</f>
        <v>100</v>
      </c>
      <c r="I41" s="3171" t="s">
        <v>3014</v>
      </c>
      <c r="J41" s="537">
        <f>SUMIF(121:121,I41,122:122)-SUMIF(121:121,C41,122:122)+100</f>
        <v>100</v>
      </c>
      <c r="K41" s="581">
        <v>2</v>
      </c>
      <c r="L41" s="2140"/>
      <c r="M41" s="2130"/>
      <c r="N41" s="2130"/>
      <c r="O41" s="2139"/>
      <c r="P41" s="3389"/>
      <c r="Q41" s="1569" t="str">
        <f t="shared" ref="Q41:Q47" si="14">B41</f>
        <v>宗地形状</v>
      </c>
      <c r="R41" s="1570" t="s">
        <v>8</v>
      </c>
      <c r="S41" s="1571">
        <f t="shared" si="10"/>
        <v>100</v>
      </c>
      <c r="T41" s="1570" t="s">
        <v>8</v>
      </c>
      <c r="U41" s="1571">
        <f t="shared" si="11"/>
        <v>100</v>
      </c>
      <c r="V41" s="1570" t="s">
        <v>8</v>
      </c>
      <c r="W41" s="1571">
        <f t="shared" si="12"/>
        <v>100</v>
      </c>
      <c r="X41" s="1564"/>
      <c r="Y41" s="3389"/>
      <c r="Z41" s="1572" t="str">
        <f t="shared" si="13"/>
        <v>宗地形状</v>
      </c>
      <c r="AA41" s="1573">
        <f t="shared" si="3"/>
        <v>1</v>
      </c>
      <c r="AB41" s="1573">
        <f t="shared" si="4"/>
        <v>1</v>
      </c>
      <c r="AC41" s="1573">
        <f t="shared" si="5"/>
        <v>1</v>
      </c>
    </row>
    <row r="42" spans="1:29" ht="20.25">
      <c r="A42" s="591"/>
      <c r="B42" s="524" t="s">
        <v>555</v>
      </c>
      <c r="C42" s="3171" t="s">
        <v>3015</v>
      </c>
      <c r="D42" s="537">
        <v>100</v>
      </c>
      <c r="E42" s="3171" t="s">
        <v>3015</v>
      </c>
      <c r="F42" s="537">
        <f>SUMIF(123:123,E42,124:124)-SUMIF(123:123,C42,124:124)+100</f>
        <v>100</v>
      </c>
      <c r="G42" s="3171" t="s">
        <v>3015</v>
      </c>
      <c r="H42" s="537">
        <f>SUMIF(123:123,G42,124:124)-SUMIF(123:123,C42,124:124)+100</f>
        <v>100</v>
      </c>
      <c r="I42" s="3171" t="s">
        <v>3015</v>
      </c>
      <c r="J42" s="537">
        <f>SUMIF(123:123,I42,124:124)-SUMIF(123:123,C42,124:124)+100</f>
        <v>100</v>
      </c>
      <c r="K42" s="581">
        <v>2</v>
      </c>
      <c r="L42" s="2140"/>
      <c r="M42" s="2130"/>
      <c r="N42" s="2130"/>
      <c r="O42" s="2139"/>
      <c r="P42" s="3389"/>
      <c r="Q42" s="1569" t="str">
        <f t="shared" si="14"/>
        <v>临街宽度及深度</v>
      </c>
      <c r="R42" s="1570" t="s">
        <v>8</v>
      </c>
      <c r="S42" s="1571">
        <f t="shared" si="10"/>
        <v>100</v>
      </c>
      <c r="T42" s="1570" t="s">
        <v>8</v>
      </c>
      <c r="U42" s="1571">
        <f t="shared" si="11"/>
        <v>100</v>
      </c>
      <c r="V42" s="1570" t="s">
        <v>8</v>
      </c>
      <c r="W42" s="1571">
        <f t="shared" si="12"/>
        <v>100</v>
      </c>
      <c r="X42" s="1564"/>
      <c r="Y42" s="3389"/>
      <c r="Z42" s="1572" t="str">
        <f t="shared" si="13"/>
        <v>临街宽度及深度</v>
      </c>
      <c r="AA42" s="1573">
        <f t="shared" si="3"/>
        <v>1</v>
      </c>
      <c r="AB42" s="1573">
        <f t="shared" si="4"/>
        <v>1</v>
      </c>
      <c r="AC42" s="1573">
        <f t="shared" si="5"/>
        <v>1</v>
      </c>
    </row>
    <row r="43" spans="1:29" s="1216" customFormat="1" ht="20.25">
      <c r="A43" s="597"/>
      <c r="B43" s="1893" t="s">
        <v>2429</v>
      </c>
      <c r="C43" s="3172" t="s">
        <v>3016</v>
      </c>
      <c r="D43" s="254">
        <v>100</v>
      </c>
      <c r="E43" s="3172" t="s">
        <v>3016</v>
      </c>
      <c r="F43" s="537">
        <f>SUMIF(125:125,E43,126:126)-SUMIF(125:125,C43,126:126)+100</f>
        <v>100</v>
      </c>
      <c r="G43" s="3172" t="s">
        <v>3016</v>
      </c>
      <c r="H43" s="537">
        <f>SUMIF(125:125,G43,126:126)-SUMIF(125:125,C43,126:126)+100</f>
        <v>100</v>
      </c>
      <c r="I43" s="3172" t="s">
        <v>3016</v>
      </c>
      <c r="J43" s="537">
        <f>SUMIF(125:125,I43,126:126)-SUMIF(125:125,C43,126:126)+100</f>
        <v>100</v>
      </c>
      <c r="K43" s="581">
        <v>1</v>
      </c>
      <c r="L43" s="2133"/>
      <c r="M43" s="2130"/>
      <c r="N43" s="2130"/>
      <c r="O43" s="2135"/>
      <c r="P43" s="3389"/>
      <c r="Q43" s="1569" t="str">
        <f t="shared" si="14"/>
        <v>宗地开发程度</v>
      </c>
      <c r="R43" s="1565" t="s">
        <v>8</v>
      </c>
      <c r="S43" s="1566">
        <f t="shared" si="10"/>
        <v>100</v>
      </c>
      <c r="T43" s="1565" t="s">
        <v>8</v>
      </c>
      <c r="U43" s="1566">
        <f t="shared" si="11"/>
        <v>100</v>
      </c>
      <c r="V43" s="1565" t="s">
        <v>8</v>
      </c>
      <c r="W43" s="1566">
        <f t="shared" si="12"/>
        <v>100</v>
      </c>
      <c r="X43" s="1567"/>
      <c r="Y43" s="3389"/>
      <c r="Z43" s="1146" t="str">
        <f t="shared" si="13"/>
        <v>宗地开发程度</v>
      </c>
      <c r="AA43" s="1568">
        <f t="shared" si="3"/>
        <v>1</v>
      </c>
      <c r="AB43" s="1568">
        <f t="shared" si="4"/>
        <v>1</v>
      </c>
      <c r="AC43" s="1568">
        <f t="shared" si="5"/>
        <v>1</v>
      </c>
    </row>
    <row r="44" spans="1:29" ht="21" thickBot="1">
      <c r="A44" s="591"/>
      <c r="B44" s="524" t="s">
        <v>556</v>
      </c>
      <c r="C44" s="3171" t="s">
        <v>3015</v>
      </c>
      <c r="D44" s="537">
        <v>100</v>
      </c>
      <c r="E44" s="3171" t="s">
        <v>3015</v>
      </c>
      <c r="F44" s="537">
        <f>SUMIF(127:127,E44,128:128)-SUMIF(127:127,C44,128:128)+100</f>
        <v>100</v>
      </c>
      <c r="G44" s="3171" t="s">
        <v>3015</v>
      </c>
      <c r="H44" s="537">
        <f>SUMIF(127:127,G44,128:128)-SUMIF(127:127,C44,128:128)+100</f>
        <v>100</v>
      </c>
      <c r="I44" s="3171" t="s">
        <v>3015</v>
      </c>
      <c r="J44" s="537">
        <f>SUMIF(127:127,I44,128:128)-SUMIF(127:127,C44,128:128)+100</f>
        <v>100</v>
      </c>
      <c r="K44" s="581">
        <v>1</v>
      </c>
      <c r="L44" s="2140"/>
      <c r="M44" s="2130"/>
      <c r="N44" s="2130"/>
      <c r="O44" s="2139"/>
      <c r="P44" s="3389" t="s">
        <v>551</v>
      </c>
      <c r="Q44" s="1569" t="str">
        <f t="shared" si="14"/>
        <v>工程地质条件</v>
      </c>
      <c r="R44" s="1570" t="s">
        <v>8</v>
      </c>
      <c r="S44" s="1571">
        <f t="shared" si="10"/>
        <v>100</v>
      </c>
      <c r="T44" s="1570" t="s">
        <v>8</v>
      </c>
      <c r="U44" s="1571">
        <f t="shared" si="11"/>
        <v>100</v>
      </c>
      <c r="V44" s="1570" t="s">
        <v>8</v>
      </c>
      <c r="W44" s="1571">
        <f t="shared" si="12"/>
        <v>100</v>
      </c>
      <c r="X44" s="1564"/>
      <c r="Y44" s="3389" t="s">
        <v>551</v>
      </c>
      <c r="Z44" s="1572" t="str">
        <f t="shared" si="13"/>
        <v>工程地质条件</v>
      </c>
      <c r="AA44" s="1573">
        <f t="shared" si="3"/>
        <v>1</v>
      </c>
      <c r="AB44" s="1573">
        <f t="shared" si="4"/>
        <v>1</v>
      </c>
      <c r="AC44" s="1573">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0"/>
      <c r="M45" s="2130"/>
      <c r="N45" s="2130"/>
      <c r="O45" s="2139"/>
      <c r="P45" s="3389"/>
      <c r="Q45" s="1569">
        <f t="shared" si="14"/>
        <v>111</v>
      </c>
      <c r="R45" s="1570" t="s">
        <v>8</v>
      </c>
      <c r="S45" s="1571">
        <f t="shared" si="10"/>
        <v>100</v>
      </c>
      <c r="T45" s="1570" t="s">
        <v>8</v>
      </c>
      <c r="U45" s="1571">
        <f t="shared" si="11"/>
        <v>100</v>
      </c>
      <c r="V45" s="1570" t="s">
        <v>8</v>
      </c>
      <c r="W45" s="1571">
        <f t="shared" si="12"/>
        <v>100</v>
      </c>
      <c r="X45" s="1564"/>
      <c r="Y45" s="3389"/>
      <c r="Z45" s="1572">
        <f t="shared" si="13"/>
        <v>111</v>
      </c>
      <c r="AA45" s="1573">
        <f t="shared" si="3"/>
        <v>1</v>
      </c>
      <c r="AB45" s="1573">
        <f t="shared" si="4"/>
        <v>1</v>
      </c>
      <c r="AC45" s="1573">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0"/>
      <c r="M46" s="2130"/>
      <c r="N46" s="2130"/>
      <c r="O46" s="2139"/>
      <c r="P46" s="3389"/>
      <c r="Q46" s="1569">
        <f t="shared" si="14"/>
        <v>111</v>
      </c>
      <c r="R46" s="1570" t="s">
        <v>8</v>
      </c>
      <c r="S46" s="1571">
        <f t="shared" si="10"/>
        <v>100</v>
      </c>
      <c r="T46" s="1570" t="s">
        <v>8</v>
      </c>
      <c r="U46" s="1571">
        <f t="shared" si="11"/>
        <v>100</v>
      </c>
      <c r="V46" s="1570" t="s">
        <v>8</v>
      </c>
      <c r="W46" s="1571">
        <f t="shared" si="12"/>
        <v>100</v>
      </c>
      <c r="X46" s="1564"/>
      <c r="Y46" s="3389"/>
      <c r="Z46" s="1572">
        <f t="shared" si="13"/>
        <v>111</v>
      </c>
      <c r="AA46" s="1573">
        <f t="shared" si="3"/>
        <v>1</v>
      </c>
      <c r="AB46" s="1573">
        <f t="shared" si="4"/>
        <v>1</v>
      </c>
      <c r="AC46" s="1573">
        <f t="shared" si="5"/>
        <v>1</v>
      </c>
    </row>
    <row r="47" spans="1:29" s="1335"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8"/>
      <c r="M47" s="2130"/>
      <c r="N47" s="2130"/>
      <c r="O47" s="2141"/>
      <c r="P47" s="3389"/>
      <c r="Q47" s="1569">
        <f t="shared" si="14"/>
        <v>111</v>
      </c>
      <c r="R47" s="1574" t="s">
        <v>8</v>
      </c>
      <c r="S47" s="1575">
        <f t="shared" si="10"/>
        <v>100</v>
      </c>
      <c r="T47" s="1574" t="s">
        <v>8</v>
      </c>
      <c r="U47" s="1575">
        <f t="shared" si="11"/>
        <v>100</v>
      </c>
      <c r="V47" s="1574" t="s">
        <v>8</v>
      </c>
      <c r="W47" s="1575">
        <f t="shared" si="12"/>
        <v>100</v>
      </c>
      <c r="X47" s="1576"/>
      <c r="Y47" s="3389"/>
      <c r="Z47" s="1577">
        <f t="shared" si="13"/>
        <v>111</v>
      </c>
      <c r="AA47" s="1573">
        <f t="shared" si="3"/>
        <v>1</v>
      </c>
      <c r="AB47" s="1573">
        <f t="shared" si="4"/>
        <v>1</v>
      </c>
      <c r="AC47" s="1573">
        <f t="shared" si="5"/>
        <v>1</v>
      </c>
    </row>
    <row r="48" spans="1:29" ht="20.25">
      <c r="A48" s="604" t="s">
        <v>557</v>
      </c>
      <c r="B48" s="605" t="s">
        <v>3017</v>
      </c>
      <c r="C48" s="606" t="s">
        <v>1</v>
      </c>
      <c r="D48" s="607"/>
      <c r="E48" s="608">
        <v>25750</v>
      </c>
      <c r="F48" s="609"/>
      <c r="G48" s="610">
        <v>24744</v>
      </c>
      <c r="H48" s="611"/>
      <c r="I48" s="608">
        <v>24462</v>
      </c>
      <c r="J48" s="611"/>
      <c r="K48" s="1336"/>
      <c r="L48" s="2142"/>
      <c r="M48" s="2130"/>
      <c r="N48" s="2130"/>
      <c r="O48" s="2143"/>
      <c r="P48" s="3384" t="str">
        <f>A48</f>
        <v>成交单价</v>
      </c>
      <c r="Q48" s="3384"/>
      <c r="R48" s="3398">
        <f>E48</f>
        <v>25750</v>
      </c>
      <c r="S48" s="3398"/>
      <c r="T48" s="3398">
        <f>G48</f>
        <v>24744</v>
      </c>
      <c r="U48" s="3398"/>
      <c r="V48" s="3398">
        <f>I48</f>
        <v>24462</v>
      </c>
      <c r="W48" s="3398"/>
      <c r="X48" s="1556"/>
      <c r="Y48" s="1578"/>
      <c r="Z48" s="1556"/>
      <c r="AA48" s="1556"/>
      <c r="AB48" s="1556"/>
      <c r="AC48" s="1556"/>
    </row>
    <row r="49" spans="1:29" ht="21" thickBot="1">
      <c r="A49" s="612" t="s">
        <v>2702</v>
      </c>
      <c r="B49" s="613"/>
      <c r="C49" s="614">
        <f>R50</f>
        <v>22939</v>
      </c>
      <c r="D49" s="615"/>
      <c r="E49" s="614">
        <f>R49</f>
        <v>23294</v>
      </c>
      <c r="F49" s="616"/>
      <c r="G49" s="617">
        <f>T49</f>
        <v>23145</v>
      </c>
      <c r="H49" s="615"/>
      <c r="I49" s="614">
        <f>V49</f>
        <v>22377</v>
      </c>
      <c r="J49" s="615"/>
      <c r="K49" s="1337"/>
      <c r="L49" s="2142"/>
      <c r="M49" s="2130"/>
      <c r="N49" s="2130"/>
      <c r="O49" s="2143"/>
      <c r="P49" s="3384" t="str">
        <f>A49</f>
        <v>比较价格（元/平方米）</v>
      </c>
      <c r="Q49" s="3384"/>
      <c r="R49" s="3409">
        <f>ROUND(PRODUCT(R48,AA9:AA47),0)</f>
        <v>23294</v>
      </c>
      <c r="S49" s="3409"/>
      <c r="T49" s="3409">
        <f>ROUND(PRODUCT(T48,AB9:AB47),0)</f>
        <v>23145</v>
      </c>
      <c r="U49" s="3409"/>
      <c r="V49" s="3409">
        <f>ROUND(PRODUCT(V48,AC9:AC47),0)</f>
        <v>22377</v>
      </c>
      <c r="W49" s="3409"/>
      <c r="X49" s="1556"/>
      <c r="Y49" s="1556"/>
      <c r="Z49" s="1556"/>
      <c r="AA49" s="1556"/>
      <c r="AB49" s="1556"/>
      <c r="AC49" s="1556"/>
    </row>
    <row r="50" spans="1:29" ht="21" thickBot="1">
      <c r="A50" s="618" t="s">
        <v>2946</v>
      </c>
      <c r="B50" s="619"/>
      <c r="C50" s="620">
        <f>R50</f>
        <v>22939</v>
      </c>
      <c r="D50" s="620"/>
      <c r="E50" s="620"/>
      <c r="F50" s="620"/>
      <c r="G50" s="620"/>
      <c r="H50" s="620"/>
      <c r="I50" s="620"/>
      <c r="J50" s="620"/>
      <c r="K50" s="1338"/>
      <c r="L50" s="2142"/>
      <c r="M50" s="2130"/>
      <c r="N50" s="2130"/>
      <c r="O50" s="2143"/>
      <c r="P50" s="3406" t="str">
        <f>A50</f>
        <v>估价对象XX用房的比较价格（楼面单价，元/平方米）</v>
      </c>
      <c r="Q50" s="3407"/>
      <c r="R50" s="3408">
        <f>ROUND(AVERAGE(R49:V49),0)</f>
        <v>22939</v>
      </c>
      <c r="S50" s="3408"/>
      <c r="T50" s="3408"/>
      <c r="U50" s="3408"/>
      <c r="V50" s="3408"/>
      <c r="W50" s="3408"/>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0.10543487593371692</v>
      </c>
      <c r="F53" s="624" t="str">
        <f>IF(OR(E53&gt;=0.3,E53&lt;=-0.3),"超过30%","")</f>
        <v/>
      </c>
      <c r="G53" s="623">
        <f>IF(G48&lt;G49,G49/G48-1,G48/G49-1)</f>
        <v>6.9086195722618315E-2</v>
      </c>
      <c r="H53" s="624" t="str">
        <f>IF(OR(G53&gt;=0.3,G53&lt;=-0.3),"超过30%","")</f>
        <v/>
      </c>
      <c r="I53" s="623">
        <f>IF(I48&lt;I49,I49/I48-1,I48/I49-1)</f>
        <v>9.3176028958305457E-2</v>
      </c>
      <c r="J53" s="624"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6.4376755238713113E-3</v>
      </c>
      <c r="F54" s="624" t="str">
        <f>IF(OR(E54&gt;=0.2,E54&lt;=-0.2),"超过20%","")</f>
        <v/>
      </c>
      <c r="G54" s="623">
        <f>IF(G49&lt;I49,I49/G49-1,G49/I49-1)</f>
        <v>3.4320954551548377E-2</v>
      </c>
      <c r="H54" s="624" t="str">
        <f>IF(OR(G54&gt;=0.2,G54&lt;=-0.2),"超过20%","")</f>
        <v/>
      </c>
      <c r="I54" s="623">
        <f>IF(I49&lt;E49,E49/I49-1,I49/E49-1)</f>
        <v>4.0979577244492082E-2</v>
      </c>
      <c r="J54" s="624"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4.0656320724215878E-2</v>
      </c>
      <c r="F55" s="624" t="str">
        <f>IF(OR(E55&gt;=0.3,E55&lt;=-0.3),"超过30%","")</f>
        <v/>
      </c>
      <c r="G55" s="623">
        <f>IF(G48&lt;I48,I48/G48-1,G48/I48-1)</f>
        <v>1.1528084375766579E-2</v>
      </c>
      <c r="H55" s="624" t="str">
        <f>IF(OR(G55&gt;=0.3,G55&lt;=-0.3),"超过30%","")</f>
        <v/>
      </c>
      <c r="I55" s="623">
        <f>IF(I48&lt;E48,E48/I48-1,I48/E48-1)</f>
        <v>5.2653094595699557E-2</v>
      </c>
      <c r="J55" s="624"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6" t="s">
        <v>561</v>
      </c>
      <c r="B57" s="627" t="s">
        <v>562</v>
      </c>
      <c r="C57" s="1557" t="s">
        <v>1726</v>
      </c>
      <c r="D57" s="2225" t="s">
        <v>2297</v>
      </c>
      <c r="E57" s="628" t="s">
        <v>563</v>
      </c>
      <c r="F57" s="629" t="s">
        <v>564</v>
      </c>
      <c r="G57" s="3368" t="s">
        <v>2285</v>
      </c>
      <c r="H57" s="3369"/>
      <c r="I57" s="1552" t="s">
        <v>1724</v>
      </c>
      <c r="J57" s="1552">
        <f>项目基本情况!F41</f>
        <v>0</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0" t="s">
        <v>565</v>
      </c>
      <c r="B58" s="631">
        <f>C50</f>
        <v>22939</v>
      </c>
      <c r="C58" s="632">
        <v>1</v>
      </c>
      <c r="D58" s="2226">
        <v>1</v>
      </c>
      <c r="E58" s="632">
        <f>'数据-汇总表'!E8+'数据-汇总表'!E9</f>
        <v>135065.77000000002</v>
      </c>
      <c r="F58" s="633">
        <f t="shared" ref="F58:F67" si="15">ROUND(B58*E58/10000,0)</f>
        <v>309827</v>
      </c>
      <c r="G58" s="3370"/>
      <c r="H58" s="3371"/>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566</v>
      </c>
      <c r="B59" s="635">
        <f>ROUND($C$50*C59*D59,0)</f>
        <v>0</v>
      </c>
      <c r="C59" s="375">
        <f t="shared" ref="C59:C67" si="16">IF($C$57="北京市系数",I59,J59)</f>
        <v>0</v>
      </c>
      <c r="D59" s="2227">
        <v>0.25</v>
      </c>
      <c r="E59" s="636">
        <v>0</v>
      </c>
      <c r="F59" s="633">
        <f t="shared" si="15"/>
        <v>0</v>
      </c>
      <c r="G59" s="3372"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567</v>
      </c>
      <c r="B60" s="635">
        <f t="shared" ref="B60:B67" si="17">ROUND($C$50*C60*D60,0)</f>
        <v>0</v>
      </c>
      <c r="C60" s="375">
        <f t="shared" si="16"/>
        <v>0</v>
      </c>
      <c r="D60" s="2227">
        <v>0.25</v>
      </c>
      <c r="E60" s="636">
        <v>0</v>
      </c>
      <c r="F60" s="633">
        <f t="shared" si="15"/>
        <v>0</v>
      </c>
      <c r="G60" s="3372"/>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568</v>
      </c>
      <c r="B61" s="635">
        <f t="shared" si="17"/>
        <v>0</v>
      </c>
      <c r="C61" s="375">
        <f t="shared" si="16"/>
        <v>0</v>
      </c>
      <c r="D61" s="2227">
        <v>0.25</v>
      </c>
      <c r="E61" s="636">
        <v>0</v>
      </c>
      <c r="F61" s="633">
        <f t="shared" si="15"/>
        <v>0</v>
      </c>
      <c r="G61" s="3372"/>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4" t="s">
        <v>569</v>
      </c>
      <c r="B62" s="635">
        <f t="shared" si="17"/>
        <v>0</v>
      </c>
      <c r="C62" s="375">
        <f t="shared" si="16"/>
        <v>0</v>
      </c>
      <c r="D62" s="2227">
        <v>0.25</v>
      </c>
      <c r="E62" s="636">
        <v>0</v>
      </c>
      <c r="F62" s="633">
        <f t="shared" si="15"/>
        <v>0</v>
      </c>
      <c r="G62" s="3372"/>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2332</v>
      </c>
      <c r="B63" s="635">
        <f t="shared" si="17"/>
        <v>0</v>
      </c>
      <c r="C63" s="375">
        <f t="shared" si="16"/>
        <v>0</v>
      </c>
      <c r="D63" s="2227">
        <v>0.25</v>
      </c>
      <c r="E63" s="638">
        <f>'数据-汇总表'!E11</f>
        <v>0</v>
      </c>
      <c r="F63" s="633">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4" t="s">
        <v>570</v>
      </c>
      <c r="B64" s="635">
        <f t="shared" si="17"/>
        <v>0</v>
      </c>
      <c r="C64" s="375">
        <f t="shared" si="16"/>
        <v>0</v>
      </c>
      <c r="D64" s="2227">
        <v>0.25</v>
      </c>
      <c r="E64" s="638">
        <f>'数据-汇总表'!E12</f>
        <v>0</v>
      </c>
      <c r="F64" s="633">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4" t="s">
        <v>571</v>
      </c>
      <c r="B65" s="635">
        <f t="shared" si="17"/>
        <v>0</v>
      </c>
      <c r="C65" s="375">
        <f t="shared" si="16"/>
        <v>0</v>
      </c>
      <c r="D65" s="2227">
        <v>0.25</v>
      </c>
      <c r="E65" s="638">
        <f>'数据-汇总表'!E13</f>
        <v>0</v>
      </c>
      <c r="F65" s="633">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4" t="s">
        <v>572</v>
      </c>
      <c r="B66" s="635">
        <f t="shared" si="17"/>
        <v>0</v>
      </c>
      <c r="C66" s="375">
        <f t="shared" si="16"/>
        <v>0</v>
      </c>
      <c r="D66" s="2227">
        <v>0.25</v>
      </c>
      <c r="E66" s="638">
        <f>'数据-汇总表'!E14</f>
        <v>0</v>
      </c>
      <c r="F66" s="633">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4" t="s">
        <v>573</v>
      </c>
      <c r="B67" s="635">
        <f t="shared" si="17"/>
        <v>0</v>
      </c>
      <c r="C67" s="375">
        <f t="shared" si="16"/>
        <v>0</v>
      </c>
      <c r="D67" s="2227">
        <v>0.25</v>
      </c>
      <c r="E67" s="638">
        <f>'数据-汇总表'!E15</f>
        <v>0</v>
      </c>
      <c r="F67" s="633">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39" t="s">
        <v>574</v>
      </c>
      <c r="B68" s="640" t="s">
        <v>17</v>
      </c>
      <c r="C68" s="640" t="s">
        <v>18</v>
      </c>
      <c r="D68" s="640" t="s">
        <v>2298</v>
      </c>
      <c r="E68" s="640">
        <f>IF(B48="楼面地价",SUM(E58:E67),'数据-汇总表'!D3)</f>
        <v>135065.77000000002</v>
      </c>
      <c r="F68" s="641">
        <f>IF(B48="楼面地价",SUM(F58:F67),ROUND(C50*E68/10000,0))</f>
        <v>309827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3" t="str">
        <f>YEAR(C9)&amp;"-"&amp;MONTH(C9)&amp;"-1"</f>
        <v>2018-1-1</v>
      </c>
      <c r="D70" s="2823">
        <f>EDATE(C70,-3)</f>
        <v>43009</v>
      </c>
      <c r="E70" s="2823">
        <f t="shared" ref="E70:N70" si="18">EDATE(D70,-3)</f>
        <v>42917</v>
      </c>
      <c r="F70" s="2823">
        <f t="shared" si="18"/>
        <v>42826</v>
      </c>
      <c r="G70" s="2823">
        <f t="shared" si="18"/>
        <v>42736</v>
      </c>
      <c r="H70" s="2823">
        <f t="shared" si="18"/>
        <v>42644</v>
      </c>
      <c r="I70" s="2823">
        <f t="shared" si="18"/>
        <v>42552</v>
      </c>
      <c r="J70" s="2823">
        <f t="shared" si="18"/>
        <v>42461</v>
      </c>
      <c r="K70" s="2823">
        <f t="shared" si="18"/>
        <v>42370</v>
      </c>
      <c r="L70" s="2823">
        <f t="shared" si="18"/>
        <v>42278</v>
      </c>
      <c r="M70" s="2823">
        <f t="shared" si="18"/>
        <v>42186</v>
      </c>
      <c r="N70" s="2823">
        <f t="shared" si="18"/>
        <v>42095</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2539</v>
      </c>
      <c r="B72" s="2591"/>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30" t="s">
        <v>2656</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816"/>
      <c r="N73" s="2817"/>
      <c r="O73" s="2160"/>
      <c r="P73" s="2156"/>
      <c r="Q73" s="1991"/>
      <c r="R73" s="1991"/>
      <c r="S73" s="1991"/>
      <c r="T73" s="1991"/>
      <c r="U73" s="1991"/>
      <c r="V73" s="1991"/>
      <c r="W73" s="1991"/>
      <c r="X73" s="1991"/>
      <c r="Y73" s="1991"/>
      <c r="Z73" s="1991"/>
      <c r="AA73" s="1991"/>
      <c r="AB73" s="1991"/>
      <c r="AC73" s="1991"/>
    </row>
    <row r="74" spans="1:29" s="1216" customFormat="1" ht="15" customHeight="1" thickBot="1">
      <c r="A74" s="2820" t="s">
        <v>2655</v>
      </c>
      <c r="B74" s="2829"/>
      <c r="C74" s="2814"/>
      <c r="D74" s="2815"/>
      <c r="E74" s="3173">
        <v>3.83</v>
      </c>
      <c r="F74" s="3173">
        <v>4.97</v>
      </c>
      <c r="G74" s="3173">
        <v>1.2</v>
      </c>
      <c r="H74" s="3173">
        <v>2</v>
      </c>
      <c r="I74" s="3173">
        <v>2.21</v>
      </c>
      <c r="J74" s="3173">
        <v>3.58</v>
      </c>
      <c r="K74" s="3173">
        <v>1.6</v>
      </c>
      <c r="L74" s="2815"/>
      <c r="M74" s="2815"/>
      <c r="N74" s="2815"/>
      <c r="O74" s="2160"/>
      <c r="P74" s="2156"/>
      <c r="Q74" s="2156"/>
      <c r="R74" s="1991"/>
      <c r="S74" s="1991"/>
      <c r="T74" s="1991"/>
      <c r="U74" s="1991"/>
      <c r="V74" s="1991"/>
      <c r="W74" s="1991"/>
      <c r="X74" s="1991"/>
      <c r="Y74" s="1991"/>
      <c r="Z74" s="1991"/>
      <c r="AA74" s="1991"/>
      <c r="AB74" s="1991"/>
      <c r="AC74" s="1991"/>
    </row>
    <row r="75" spans="1:29" s="1216" customFormat="1" ht="15">
      <c r="A75" s="656" t="s">
        <v>532</v>
      </c>
      <c r="B75" s="645"/>
      <c r="C75" s="657" t="s">
        <v>577</v>
      </c>
      <c r="D75" s="658"/>
      <c r="E75" s="658"/>
      <c r="F75" s="658"/>
      <c r="G75" s="658"/>
      <c r="H75" s="658"/>
      <c r="I75" s="658"/>
      <c r="J75" s="658"/>
      <c r="K75" s="658"/>
      <c r="L75" s="659"/>
      <c r="M75" s="660"/>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6"/>
      <c r="B76" s="645"/>
      <c r="C76" s="646">
        <v>100</v>
      </c>
      <c r="D76" s="647"/>
      <c r="E76" s="647"/>
      <c r="F76" s="647"/>
      <c r="G76" s="647"/>
      <c r="H76" s="647"/>
      <c r="I76" s="647"/>
      <c r="J76" s="647"/>
      <c r="K76" s="647"/>
      <c r="L76" s="647"/>
      <c r="M76" s="649"/>
      <c r="N76" s="2160"/>
      <c r="O76" s="2160"/>
      <c r="P76" s="2156"/>
      <c r="Q76" s="2156"/>
      <c r="R76" s="1991"/>
      <c r="S76" s="1991"/>
      <c r="T76" s="1991"/>
      <c r="U76" s="1991"/>
      <c r="V76" s="1991"/>
      <c r="W76" s="1991"/>
      <c r="X76" s="1991"/>
      <c r="Y76" s="1991"/>
      <c r="Z76" s="1991"/>
      <c r="AA76" s="1991"/>
      <c r="AB76" s="1991"/>
      <c r="AC76" s="1991"/>
    </row>
    <row r="77" spans="1:29">
      <c r="A77" s="661" t="s">
        <v>578</v>
      </c>
      <c r="B77" s="662" t="s">
        <v>535</v>
      </c>
      <c r="C77" s="595"/>
      <c r="D77" s="59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68"/>
      <c r="D78" s="668"/>
      <c r="E78" s="668"/>
      <c r="F78" s="668"/>
      <c r="G78" s="668"/>
      <c r="H78" s="668"/>
      <c r="I78" s="668"/>
      <c r="J78" s="668"/>
      <c r="K78" s="668"/>
      <c r="L78" s="668"/>
      <c r="M78" s="669"/>
      <c r="N78" s="2164"/>
      <c r="O78" s="2164"/>
      <c r="P78" s="2163"/>
      <c r="Q78" s="2156"/>
      <c r="R78" s="2143"/>
      <c r="S78" s="2143"/>
      <c r="T78" s="2143"/>
      <c r="U78" s="2143"/>
      <c r="V78" s="2143"/>
      <c r="W78" s="2143"/>
      <c r="X78" s="2143"/>
      <c r="Y78" s="2143"/>
      <c r="Z78" s="2143"/>
      <c r="AA78" s="2143"/>
      <c r="AB78" s="2143"/>
      <c r="AC78" s="2143"/>
    </row>
    <row r="79" spans="1:29" ht="27.75" thickTop="1">
      <c r="A79" s="666"/>
      <c r="B79" s="670" t="s">
        <v>538</v>
      </c>
      <c r="C79" s="671"/>
      <c r="D79" s="671"/>
      <c r="E79" s="671"/>
      <c r="F79" s="671"/>
      <c r="G79" s="671"/>
      <c r="H79" s="671"/>
      <c r="I79" s="671"/>
      <c r="J79" s="671"/>
      <c r="K79" s="672"/>
      <c r="L79" s="673"/>
      <c r="M79" s="674"/>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c r="D80" s="676"/>
      <c r="E80" s="676"/>
      <c r="F80" s="676"/>
      <c r="G80" s="676"/>
      <c r="H80" s="676"/>
      <c r="I80" s="676"/>
      <c r="J80" s="676"/>
      <c r="K80" s="676"/>
      <c r="L80" s="676"/>
      <c r="M80" s="677"/>
      <c r="N80" s="2164"/>
      <c r="O80" s="2164"/>
      <c r="P80" s="2163"/>
      <c r="Q80" s="2156"/>
      <c r="R80" s="2143"/>
      <c r="S80" s="2143"/>
      <c r="T80" s="2143"/>
      <c r="U80" s="2143"/>
      <c r="V80" s="2143"/>
      <c r="W80" s="2143"/>
      <c r="X80" s="2143"/>
      <c r="Y80" s="2143"/>
      <c r="Z80" s="2143"/>
      <c r="AA80" s="2143"/>
      <c r="AB80" s="2143"/>
      <c r="AC80" s="2143"/>
    </row>
    <row r="81" spans="1:29" ht="15.75" thickTop="1">
      <c r="A81" s="666"/>
      <c r="B81" s="678" t="s">
        <v>539</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v>
      </c>
      <c r="L81" s="679" t="str">
        <f t="shared" si="20"/>
        <v>（含）-</v>
      </c>
      <c r="M81" s="552"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6"/>
      <c r="B82" s="680"/>
      <c r="C82" s="538">
        <v>0</v>
      </c>
      <c r="D82" s="538">
        <v>0.5</v>
      </c>
      <c r="E82" s="538">
        <v>1</v>
      </c>
      <c r="F82" s="538">
        <v>1.5</v>
      </c>
      <c r="G82" s="538">
        <v>2</v>
      </c>
      <c r="H82" s="538">
        <v>2.5</v>
      </c>
      <c r="I82" s="538">
        <v>3</v>
      </c>
      <c r="J82" s="538">
        <v>3.5</v>
      </c>
      <c r="K82" s="538">
        <v>4</v>
      </c>
      <c r="L82" s="682"/>
      <c r="M82" s="683"/>
      <c r="N82" s="2162"/>
      <c r="O82" s="2162"/>
      <c r="P82" s="2163"/>
      <c r="Q82" s="2156"/>
      <c r="R82" s="2143"/>
      <c r="S82" s="2143"/>
      <c r="T82" s="2143"/>
      <c r="U82" s="2143"/>
      <c r="V82" s="2143"/>
      <c r="W82" s="2143"/>
      <c r="X82" s="2143"/>
      <c r="Y82" s="2143"/>
      <c r="Z82" s="2143"/>
      <c r="AA82" s="2143"/>
      <c r="AB82" s="2143"/>
      <c r="AC82" s="2143"/>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4"/>
      <c r="B84" s="670" t="str">
        <f>B14</f>
        <v>配建</v>
      </c>
      <c r="C84" s="685"/>
      <c r="D84" s="1372"/>
      <c r="E84" s="1373"/>
      <c r="F84" s="685"/>
      <c r="G84" s="685"/>
      <c r="H84" s="686"/>
      <c r="I84" s="686"/>
      <c r="J84" s="686"/>
      <c r="K84" s="686"/>
      <c r="L84" s="687"/>
      <c r="M84" s="688"/>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4"/>
      <c r="B86" s="670">
        <f>B15</f>
        <v>111</v>
      </c>
      <c r="C86" s="685"/>
      <c r="D86" s="685"/>
      <c r="E86" s="685"/>
      <c r="F86" s="685"/>
      <c r="G86" s="685"/>
      <c r="H86" s="686"/>
      <c r="I86" s="686"/>
      <c r="J86" s="686"/>
      <c r="K86" s="686"/>
      <c r="L86" s="687"/>
      <c r="M86" s="688"/>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4"/>
      <c r="B87" s="675"/>
      <c r="C87" s="689"/>
      <c r="D87" s="689"/>
      <c r="E87" s="689"/>
      <c r="F87" s="689"/>
      <c r="G87" s="689"/>
      <c r="H87" s="690"/>
      <c r="I87" s="690"/>
      <c r="J87" s="690"/>
      <c r="K87" s="690"/>
      <c r="L87" s="690"/>
      <c r="M87" s="691"/>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4"/>
      <c r="B88" s="678">
        <f>B16</f>
        <v>111</v>
      </c>
      <c r="C88" s="658"/>
      <c r="D88" s="658"/>
      <c r="E88" s="658"/>
      <c r="F88" s="658"/>
      <c r="G88" s="658"/>
      <c r="H88" s="692"/>
      <c r="I88" s="692"/>
      <c r="J88" s="692"/>
      <c r="K88" s="692"/>
      <c r="L88" s="693"/>
      <c r="M88" s="694"/>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5"/>
      <c r="B89" s="696"/>
      <c r="C89" s="697"/>
      <c r="D89" s="697"/>
      <c r="E89" s="697"/>
      <c r="F89" s="697"/>
      <c r="G89" s="697"/>
      <c r="H89" s="698"/>
      <c r="I89" s="698"/>
      <c r="J89" s="698"/>
      <c r="K89" s="698"/>
      <c r="L89" s="698"/>
      <c r="M89" s="699"/>
      <c r="N89" s="2165"/>
      <c r="O89" s="2165"/>
      <c r="P89" s="2166"/>
      <c r="Q89" s="2167"/>
      <c r="R89" s="2168"/>
      <c r="S89" s="2168"/>
      <c r="T89" s="2168"/>
      <c r="U89" s="2168"/>
      <c r="V89" s="2168"/>
      <c r="W89" s="2168"/>
      <c r="X89" s="2168"/>
      <c r="Y89" s="2168"/>
      <c r="Z89" s="2168"/>
      <c r="AA89" s="2168"/>
      <c r="AB89" s="2168"/>
      <c r="AC89" s="2168"/>
    </row>
    <row r="90" spans="1:29">
      <c r="A90" s="661" t="s">
        <v>540</v>
      </c>
      <c r="B90" s="662" t="s">
        <v>579</v>
      </c>
      <c r="C90" s="700" t="s">
        <v>580</v>
      </c>
      <c r="D90" s="700" t="s">
        <v>581</v>
      </c>
      <c r="E90" s="700" t="s">
        <v>582</v>
      </c>
      <c r="F90" s="700" t="s">
        <v>583</v>
      </c>
      <c r="G90" s="700" t="s">
        <v>584</v>
      </c>
      <c r="H90" s="701"/>
      <c r="I90" s="701"/>
      <c r="J90" s="701"/>
      <c r="K90" s="702"/>
      <c r="L90" s="703"/>
      <c r="M90" s="704"/>
      <c r="N90" s="2162"/>
      <c r="O90" s="2162"/>
      <c r="P90" s="2172"/>
      <c r="Q90" s="2156"/>
      <c r="R90" s="2143"/>
      <c r="S90" s="2143"/>
      <c r="T90" s="2143"/>
      <c r="U90" s="2143"/>
      <c r="V90" s="2143"/>
      <c r="W90" s="2143"/>
      <c r="X90" s="2143"/>
      <c r="Y90" s="2143"/>
      <c r="Z90" s="2143"/>
      <c r="AA90" s="2143"/>
      <c r="AB90" s="2143"/>
      <c r="AC90" s="2143"/>
    </row>
    <row r="91" spans="1:29" ht="15.75" thickBot="1">
      <c r="A91" s="666"/>
      <c r="B91" s="675"/>
      <c r="C91" s="676">
        <v>100</v>
      </c>
      <c r="D91" s="676">
        <f>C91-$K17</f>
        <v>98</v>
      </c>
      <c r="E91" s="676">
        <f>D91-$K17</f>
        <v>96</v>
      </c>
      <c r="F91" s="676">
        <f>E91-$K17</f>
        <v>94</v>
      </c>
      <c r="G91" s="676">
        <f>F91-$K17</f>
        <v>92</v>
      </c>
      <c r="H91" s="676"/>
      <c r="I91" s="676"/>
      <c r="J91" s="676"/>
      <c r="K91" s="676"/>
      <c r="L91" s="676"/>
      <c r="M91" s="677"/>
      <c r="N91" s="2164"/>
      <c r="O91" s="2164"/>
      <c r="P91" s="2163"/>
      <c r="Q91" s="2156"/>
      <c r="R91" s="2143"/>
      <c r="S91" s="2143"/>
      <c r="T91" s="2143"/>
      <c r="U91" s="2143"/>
      <c r="V91" s="2143"/>
      <c r="W91" s="2143"/>
      <c r="X91" s="2143"/>
      <c r="Y91" s="2143"/>
      <c r="Z91" s="2143"/>
      <c r="AA91" s="2143"/>
      <c r="AB91" s="2143"/>
      <c r="AC91" s="2143"/>
    </row>
    <row r="92" spans="1:29" ht="15.75" thickTop="1">
      <c r="A92" s="666"/>
      <c r="B92" s="670" t="s">
        <v>585</v>
      </c>
      <c r="C92" s="705" t="s">
        <v>580</v>
      </c>
      <c r="D92" s="705" t="s">
        <v>581</v>
      </c>
      <c r="E92" s="705" t="s">
        <v>582</v>
      </c>
      <c r="F92" s="705" t="s">
        <v>583</v>
      </c>
      <c r="G92" s="705" t="s">
        <v>584</v>
      </c>
      <c r="H92" s="671"/>
      <c r="I92" s="671"/>
      <c r="J92" s="671"/>
      <c r="K92" s="672"/>
      <c r="L92" s="673"/>
      <c r="M92" s="674"/>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76">
        <v>100</v>
      </c>
      <c r="D93" s="676">
        <f>C93-$K19</f>
        <v>98</v>
      </c>
      <c r="E93" s="676">
        <f>D93-$K19</f>
        <v>96</v>
      </c>
      <c r="F93" s="676">
        <f>E93-$K19</f>
        <v>94</v>
      </c>
      <c r="G93" s="676">
        <f>F93-$K19</f>
        <v>92</v>
      </c>
      <c r="H93" s="676"/>
      <c r="I93" s="676"/>
      <c r="J93" s="676"/>
      <c r="K93" s="676"/>
      <c r="L93" s="676"/>
      <c r="M93" s="677"/>
      <c r="N93" s="2164"/>
      <c r="O93" s="2164"/>
      <c r="P93" s="2163"/>
      <c r="Q93" s="2156"/>
      <c r="R93" s="2143"/>
      <c r="S93" s="2143"/>
      <c r="T93" s="2143"/>
      <c r="U93" s="2143"/>
      <c r="V93" s="2143"/>
      <c r="W93" s="2143"/>
      <c r="X93" s="2143"/>
      <c r="Y93" s="2143"/>
      <c r="Z93" s="2143"/>
      <c r="AA93" s="2143"/>
      <c r="AB93" s="2143"/>
      <c r="AC93" s="2143"/>
    </row>
    <row r="94" spans="1:29" ht="15.75" thickTop="1">
      <c r="A94" s="666"/>
      <c r="B94" s="670" t="s">
        <v>586</v>
      </c>
      <c r="C94" s="705" t="s">
        <v>580</v>
      </c>
      <c r="D94" s="705" t="s">
        <v>581</v>
      </c>
      <c r="E94" s="705" t="s">
        <v>582</v>
      </c>
      <c r="F94" s="705" t="s">
        <v>583</v>
      </c>
      <c r="G94" s="705" t="s">
        <v>584</v>
      </c>
      <c r="H94" s="671"/>
      <c r="I94" s="671"/>
      <c r="J94" s="671"/>
      <c r="K94" s="672"/>
      <c r="L94" s="673"/>
      <c r="M94" s="674"/>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76">
        <v>100</v>
      </c>
      <c r="D95" s="676">
        <f>C95-$K21</f>
        <v>98</v>
      </c>
      <c r="E95" s="676">
        <f>D95-$K21</f>
        <v>96</v>
      </c>
      <c r="F95" s="676">
        <f>E95-$K21</f>
        <v>94</v>
      </c>
      <c r="G95" s="676">
        <f>F95-$K21</f>
        <v>92</v>
      </c>
      <c r="H95" s="676"/>
      <c r="I95" s="676"/>
      <c r="J95" s="676"/>
      <c r="K95" s="676"/>
      <c r="L95" s="676"/>
      <c r="M95" s="677"/>
      <c r="N95" s="2164"/>
      <c r="O95" s="2164"/>
      <c r="P95" s="2163"/>
      <c r="Q95" s="2156"/>
      <c r="R95" s="2143"/>
      <c r="S95" s="2143"/>
      <c r="T95" s="2143"/>
      <c r="U95" s="2143"/>
      <c r="V95" s="2143"/>
      <c r="W95" s="2143"/>
      <c r="X95" s="2143"/>
      <c r="Y95" s="2143"/>
      <c r="Z95" s="2143"/>
      <c r="AA95" s="2143"/>
      <c r="AB95" s="2143"/>
      <c r="AC95" s="2143"/>
    </row>
    <row r="96" spans="1:29" ht="15.75" thickTop="1">
      <c r="A96" s="666"/>
      <c r="B96" s="670" t="s">
        <v>587</v>
      </c>
      <c r="C96" s="705" t="s">
        <v>580</v>
      </c>
      <c r="D96" s="705" t="s">
        <v>581</v>
      </c>
      <c r="E96" s="705" t="s">
        <v>582</v>
      </c>
      <c r="F96" s="705" t="s">
        <v>583</v>
      </c>
      <c r="G96" s="705" t="s">
        <v>584</v>
      </c>
      <c r="H96" s="671"/>
      <c r="I96" s="671"/>
      <c r="J96" s="671"/>
      <c r="K96" s="672"/>
      <c r="L96" s="673"/>
      <c r="M96" s="674"/>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76">
        <v>100</v>
      </c>
      <c r="D97" s="676">
        <f>C97-$K23</f>
        <v>98</v>
      </c>
      <c r="E97" s="676">
        <f>D97-$K23</f>
        <v>96</v>
      </c>
      <c r="F97" s="676">
        <f>E97-$K23</f>
        <v>94</v>
      </c>
      <c r="G97" s="676">
        <f>F97-$K23</f>
        <v>92</v>
      </c>
      <c r="H97" s="676"/>
      <c r="I97" s="676"/>
      <c r="J97" s="676"/>
      <c r="K97" s="676"/>
      <c r="L97" s="676"/>
      <c r="M97" s="677"/>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6"/>
      <c r="B98" s="670" t="s">
        <v>588</v>
      </c>
      <c r="C98" s="705" t="s">
        <v>580</v>
      </c>
      <c r="D98" s="705" t="s">
        <v>581</v>
      </c>
      <c r="E98" s="705" t="s">
        <v>582</v>
      </c>
      <c r="F98" s="705" t="s">
        <v>583</v>
      </c>
      <c r="G98" s="705" t="s">
        <v>584</v>
      </c>
      <c r="H98" s="705"/>
      <c r="I98" s="705"/>
      <c r="J98" s="705"/>
      <c r="K98" s="705"/>
      <c r="L98" s="707"/>
      <c r="M98" s="708"/>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6"/>
      <c r="B99" s="675"/>
      <c r="C99" s="709">
        <v>100</v>
      </c>
      <c r="D99" s="676">
        <f>C99-$K25</f>
        <v>99</v>
      </c>
      <c r="E99" s="676">
        <f>D99-$K25</f>
        <v>98</v>
      </c>
      <c r="F99" s="676">
        <f>E99-$K25</f>
        <v>97</v>
      </c>
      <c r="G99" s="676">
        <f>F99-$K25</f>
        <v>96</v>
      </c>
      <c r="H99" s="676"/>
      <c r="I99" s="676"/>
      <c r="J99" s="676"/>
      <c r="K99" s="676"/>
      <c r="L99" s="676"/>
      <c r="M99" s="677"/>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6"/>
      <c r="B100" s="670" t="s">
        <v>589</v>
      </c>
      <c r="C100" s="700" t="s">
        <v>580</v>
      </c>
      <c r="D100" s="700" t="s">
        <v>581</v>
      </c>
      <c r="E100" s="700" t="s">
        <v>582</v>
      </c>
      <c r="F100" s="700" t="s">
        <v>583</v>
      </c>
      <c r="G100" s="700" t="s">
        <v>584</v>
      </c>
      <c r="H100" s="705"/>
      <c r="I100" s="705"/>
      <c r="J100" s="705"/>
      <c r="K100" s="705"/>
      <c r="L100" s="705"/>
      <c r="M100" s="708"/>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4"/>
      <c r="B102" s="1894" t="s">
        <v>2555</v>
      </c>
      <c r="C102" s="700" t="s">
        <v>580</v>
      </c>
      <c r="D102" s="700" t="s">
        <v>581</v>
      </c>
      <c r="E102" s="700" t="s">
        <v>582</v>
      </c>
      <c r="F102" s="700" t="s">
        <v>583</v>
      </c>
      <c r="G102" s="700" t="s">
        <v>584</v>
      </c>
      <c r="H102" s="710"/>
      <c r="I102" s="710"/>
      <c r="J102" s="710"/>
      <c r="K102" s="710"/>
      <c r="L102" s="711"/>
      <c r="M102" s="712"/>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4"/>
      <c r="B103" s="675"/>
      <c r="C103" s="676">
        <v>100</v>
      </c>
      <c r="D103" s="676">
        <f>C103-$K29</f>
        <v>99</v>
      </c>
      <c r="E103" s="676">
        <f>D103-$K29</f>
        <v>98</v>
      </c>
      <c r="F103" s="676">
        <f>E103-$K29</f>
        <v>97</v>
      </c>
      <c r="G103" s="676">
        <f>F103-$K29</f>
        <v>96</v>
      </c>
      <c r="H103" s="713"/>
      <c r="I103" s="713"/>
      <c r="J103" s="713"/>
      <c r="K103" s="713"/>
      <c r="L103" s="713"/>
      <c r="M103" s="714"/>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4"/>
      <c r="B104" s="2619" t="s">
        <v>2557</v>
      </c>
      <c r="C104" s="2620" t="s">
        <v>2558</v>
      </c>
      <c r="D104" s="2620" t="s">
        <v>2559</v>
      </c>
      <c r="E104" s="2620" t="s">
        <v>2560</v>
      </c>
      <c r="F104" s="2620" t="s">
        <v>2561</v>
      </c>
      <c r="G104" s="2620" t="s">
        <v>2562</v>
      </c>
      <c r="H104" s="710"/>
      <c r="I104" s="710"/>
      <c r="J104" s="710"/>
      <c r="K104" s="710"/>
      <c r="L104" s="710"/>
      <c r="M104" s="712"/>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4"/>
      <c r="B105" s="678"/>
      <c r="C105" s="676">
        <v>100</v>
      </c>
      <c r="D105" s="676">
        <f>C105-$K31</f>
        <v>99</v>
      </c>
      <c r="E105" s="676">
        <f>D105-$K31</f>
        <v>98</v>
      </c>
      <c r="F105" s="676">
        <f>E105-$K31</f>
        <v>97</v>
      </c>
      <c r="G105" s="676">
        <f>F105-$K31</f>
        <v>96</v>
      </c>
      <c r="H105" s="680"/>
      <c r="I105" s="680"/>
      <c r="J105" s="680"/>
      <c r="K105" s="680"/>
      <c r="L105" s="680"/>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62"/>
      <c r="O106" s="2162"/>
      <c r="P106" s="2163"/>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C107-$K33</f>
        <v>99</v>
      </c>
      <c r="E107" s="676">
        <f t="shared" ref="E107:M107" si="22">D107-$K33</f>
        <v>98</v>
      </c>
      <c r="F107" s="676">
        <f t="shared" si="22"/>
        <v>97</v>
      </c>
      <c r="G107" s="676">
        <f t="shared" si="22"/>
        <v>96</v>
      </c>
      <c r="H107" s="676">
        <f t="shared" si="22"/>
        <v>95</v>
      </c>
      <c r="I107" s="676">
        <f t="shared" si="22"/>
        <v>94</v>
      </c>
      <c r="J107" s="676">
        <f t="shared" si="22"/>
        <v>93</v>
      </c>
      <c r="K107" s="676">
        <f t="shared" si="22"/>
        <v>92</v>
      </c>
      <c r="L107" s="676">
        <f t="shared" si="22"/>
        <v>91</v>
      </c>
      <c r="M107" s="676">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6"/>
      <c r="B108" s="670" t="s">
        <v>549</v>
      </c>
      <c r="C108" s="685"/>
      <c r="D108" s="685"/>
      <c r="E108" s="685"/>
      <c r="F108" s="685"/>
      <c r="G108" s="685"/>
      <c r="H108" s="715"/>
      <c r="I108" s="715"/>
      <c r="J108" s="715"/>
      <c r="K108" s="716"/>
      <c r="L108" s="717"/>
      <c r="M108" s="718"/>
      <c r="N108" s="2162"/>
      <c r="O108" s="2162"/>
      <c r="P108" s="2163"/>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C109-$K34</f>
        <v>99</v>
      </c>
      <c r="E109" s="676">
        <f t="shared" ref="E109:M109" si="23">D109-$K34</f>
        <v>98</v>
      </c>
      <c r="F109" s="676">
        <f t="shared" si="23"/>
        <v>97</v>
      </c>
      <c r="G109" s="676">
        <f t="shared" si="23"/>
        <v>96</v>
      </c>
      <c r="H109" s="676">
        <f t="shared" si="23"/>
        <v>95</v>
      </c>
      <c r="I109" s="676">
        <f t="shared" si="23"/>
        <v>94</v>
      </c>
      <c r="J109" s="676">
        <f t="shared" si="23"/>
        <v>93</v>
      </c>
      <c r="K109" s="676">
        <f t="shared" si="23"/>
        <v>92</v>
      </c>
      <c r="L109" s="676">
        <f t="shared" si="23"/>
        <v>91</v>
      </c>
      <c r="M109" s="676">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6"/>
      <c r="B110" s="670" t="s">
        <v>550</v>
      </c>
      <c r="C110" s="715"/>
      <c r="D110" s="715"/>
      <c r="E110" s="715"/>
      <c r="F110" s="715"/>
      <c r="G110" s="715"/>
      <c r="H110" s="715"/>
      <c r="I110" s="715"/>
      <c r="J110" s="715"/>
      <c r="K110" s="716"/>
      <c r="L110" s="717"/>
      <c r="M110" s="71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6"/>
      <c r="B112" s="678">
        <f>B37</f>
        <v>111</v>
      </c>
      <c r="C112" s="685"/>
      <c r="D112" s="685"/>
      <c r="E112" s="685"/>
      <c r="F112" s="685"/>
      <c r="G112" s="719"/>
      <c r="H112" s="719"/>
      <c r="I112" s="719"/>
      <c r="J112" s="719"/>
      <c r="K112" s="720"/>
      <c r="L112" s="721"/>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96"/>
      <c r="C113" s="689"/>
      <c r="D113" s="689"/>
      <c r="E113" s="689"/>
      <c r="F113" s="689"/>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ht="15" thickTop="1">
      <c r="A114" s="584"/>
      <c r="B114" s="670">
        <f>B38</f>
        <v>111</v>
      </c>
      <c r="C114" s="658"/>
      <c r="D114" s="658"/>
      <c r="E114" s="658"/>
      <c r="F114" s="658"/>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97"/>
      <c r="D115" s="697"/>
      <c r="E115" s="697"/>
      <c r="F115" s="697"/>
      <c r="G115" s="668"/>
      <c r="H115" s="668"/>
      <c r="I115" s="668"/>
      <c r="J115" s="668"/>
      <c r="K115" s="668"/>
      <c r="L115" s="668"/>
      <c r="M115" s="669"/>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5"/>
      <c r="B116" s="726">
        <f>B39</f>
        <v>111</v>
      </c>
      <c r="C116" s="727"/>
      <c r="D116" s="727"/>
      <c r="E116" s="727"/>
      <c r="F116" s="727"/>
      <c r="G116" s="727"/>
      <c r="H116" s="727"/>
      <c r="I116" s="727"/>
      <c r="J116" s="728"/>
      <c r="K116" s="728"/>
      <c r="L116" s="729"/>
      <c r="M116" s="730"/>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4"/>
      <c r="B117" s="678"/>
      <c r="C117" s="647"/>
      <c r="D117" s="589"/>
      <c r="E117" s="589"/>
      <c r="F117" s="589"/>
      <c r="G117" s="589"/>
      <c r="H117" s="589"/>
      <c r="I117" s="589"/>
      <c r="J117" s="589"/>
      <c r="K117" s="589"/>
      <c r="L117" s="589"/>
      <c r="M117" s="731"/>
      <c r="N117" s="2164"/>
      <c r="O117" s="2164"/>
      <c r="P117" s="2166"/>
      <c r="Q117" s="2167"/>
      <c r="R117" s="2168"/>
      <c r="S117" s="2168"/>
      <c r="T117" s="2168"/>
      <c r="U117" s="2168"/>
      <c r="V117" s="2168"/>
      <c r="W117" s="2168"/>
      <c r="X117" s="2168"/>
      <c r="Y117" s="2168"/>
      <c r="Z117" s="2168"/>
      <c r="AA117" s="2168"/>
      <c r="AB117" s="2168"/>
      <c r="AC117" s="2168"/>
    </row>
    <row r="118" spans="1:29" ht="28.5">
      <c r="A118" s="661" t="s">
        <v>552</v>
      </c>
      <c r="B118" s="662" t="s">
        <v>594</v>
      </c>
      <c r="C118" s="701" t="str">
        <f t="shared" ref="C118:L118" si="25">C119&amp;"(含)"&amp;"-"&amp;D119</f>
        <v>0(含)-50000</v>
      </c>
      <c r="D118" s="701" t="str">
        <f t="shared" si="25"/>
        <v>50000(含)-100000</v>
      </c>
      <c r="E118" s="701" t="str">
        <f t="shared" si="25"/>
        <v>100000(含)-150000</v>
      </c>
      <c r="F118" s="701" t="str">
        <f t="shared" si="25"/>
        <v>150000(含)-</v>
      </c>
      <c r="G118" s="701" t="str">
        <f t="shared" si="25"/>
        <v>(含)-</v>
      </c>
      <c r="H118" s="701" t="str">
        <f t="shared" si="25"/>
        <v>(含)-</v>
      </c>
      <c r="I118" s="701" t="str">
        <f t="shared" si="25"/>
        <v>(含)-</v>
      </c>
      <c r="J118" s="3116" t="str">
        <f t="shared" si="25"/>
        <v>(含)-</v>
      </c>
      <c r="K118" s="3116" t="str">
        <f t="shared" si="25"/>
        <v>(含)-</v>
      </c>
      <c r="L118" s="3117" t="str">
        <f t="shared" si="25"/>
        <v>(含)-</v>
      </c>
      <c r="M118" s="3118"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6"/>
      <c r="B119" s="678"/>
      <c r="C119" s="727">
        <v>0</v>
      </c>
      <c r="D119" s="727">
        <v>50000</v>
      </c>
      <c r="E119" s="727">
        <v>100000</v>
      </c>
      <c r="F119" s="727">
        <v>150000</v>
      </c>
      <c r="G119" s="727"/>
      <c r="H119" s="727"/>
      <c r="I119" s="727"/>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6"/>
      <c r="B120" s="675"/>
      <c r="C120" s="697">
        <v>100</v>
      </c>
      <c r="D120" s="723">
        <v>102</v>
      </c>
      <c r="E120" s="723">
        <v>104</v>
      </c>
      <c r="F120" s="723">
        <v>106</v>
      </c>
      <c r="G120" s="723"/>
      <c r="H120" s="723"/>
      <c r="I120" s="723"/>
      <c r="J120" s="723"/>
      <c r="K120" s="723"/>
      <c r="L120" s="723"/>
      <c r="M120" s="724"/>
      <c r="N120" s="2164"/>
      <c r="O120" s="2164"/>
      <c r="P120" s="2163"/>
      <c r="Q120" s="2156"/>
      <c r="R120" s="2143"/>
      <c r="S120" s="2143"/>
      <c r="T120" s="2143"/>
      <c r="U120" s="2143"/>
      <c r="V120" s="2143"/>
      <c r="W120" s="2143"/>
      <c r="X120" s="2143"/>
      <c r="Y120" s="2143"/>
      <c r="Z120" s="2143"/>
      <c r="AA120" s="2143"/>
      <c r="AB120" s="2143"/>
      <c r="AC120" s="2143"/>
    </row>
    <row r="121" spans="1:29" ht="15" thickTop="1">
      <c r="A121" s="732"/>
      <c r="B121" s="670" t="s">
        <v>595</v>
      </c>
      <c r="C121" s="715"/>
      <c r="D121" s="715"/>
      <c r="E121" s="715"/>
      <c r="F121" s="715"/>
      <c r="G121" s="715"/>
      <c r="H121" s="715"/>
      <c r="I121" s="715"/>
      <c r="J121" s="715"/>
      <c r="K121" s="716"/>
      <c r="L121" s="717"/>
      <c r="M121" s="718"/>
      <c r="N121" s="2162"/>
      <c r="O121" s="2162"/>
      <c r="P121" s="2163"/>
      <c r="Q121" s="2156"/>
      <c r="R121" s="2143"/>
      <c r="S121" s="2143"/>
      <c r="T121" s="2143"/>
      <c r="U121" s="2143"/>
      <c r="V121" s="2143"/>
      <c r="W121" s="2143"/>
      <c r="X121" s="2143"/>
      <c r="Y121" s="2143"/>
      <c r="Z121" s="2143"/>
      <c r="AA121" s="2143"/>
      <c r="AB121" s="2143"/>
      <c r="AC121" s="2143"/>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2"/>
      <c r="B123" s="670" t="s">
        <v>596</v>
      </c>
      <c r="C123" s="685"/>
      <c r="D123" s="685"/>
      <c r="E123" s="685"/>
      <c r="F123" s="715"/>
      <c r="G123" s="715"/>
      <c r="H123" s="715"/>
      <c r="I123" s="715"/>
      <c r="J123" s="715"/>
      <c r="K123" s="716"/>
      <c r="L123" s="717"/>
      <c r="M123" s="718"/>
      <c r="N123" s="2162"/>
      <c r="O123" s="2162"/>
      <c r="P123" s="2163"/>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5"/>
      <c r="B125" s="1894" t="s">
        <v>2430</v>
      </c>
      <c r="C125" s="1372"/>
      <c r="D125" s="1372"/>
      <c r="E125" s="1372"/>
      <c r="F125" s="1372"/>
      <c r="G125" s="1372"/>
      <c r="H125" s="715"/>
      <c r="I125" s="715"/>
      <c r="J125" s="715"/>
      <c r="K125" s="716"/>
      <c r="L125" s="717"/>
      <c r="M125" s="718"/>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2"/>
      <c r="B127" s="670" t="s">
        <v>597</v>
      </c>
      <c r="C127" s="685"/>
      <c r="D127" s="685"/>
      <c r="E127" s="715"/>
      <c r="F127" s="715"/>
      <c r="G127" s="715"/>
      <c r="H127" s="715"/>
      <c r="I127" s="715"/>
      <c r="J127" s="715"/>
      <c r="K127" s="716"/>
      <c r="L127" s="717"/>
      <c r="M127" s="718"/>
      <c r="N127" s="2162"/>
      <c r="O127" s="2162"/>
      <c r="P127" s="2163"/>
      <c r="Q127" s="2156"/>
      <c r="R127" s="2143"/>
      <c r="S127" s="2143"/>
      <c r="T127" s="2143"/>
      <c r="U127" s="2143"/>
      <c r="V127" s="2143"/>
      <c r="W127" s="2143"/>
      <c r="X127" s="2143"/>
      <c r="Y127" s="2143"/>
      <c r="Z127" s="2143"/>
      <c r="AA127" s="2143"/>
      <c r="AB127" s="2143"/>
      <c r="AC127" s="2143"/>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2"/>
      <c r="B129" s="670">
        <f>B45</f>
        <v>111</v>
      </c>
      <c r="C129" s="685"/>
      <c r="D129" s="685"/>
      <c r="E129" s="685"/>
      <c r="F129" s="685"/>
      <c r="G129" s="685"/>
      <c r="H129" s="715"/>
      <c r="I129" s="715"/>
      <c r="J129" s="715"/>
      <c r="K129" s="716"/>
      <c r="L129" s="717"/>
      <c r="M129" s="718"/>
      <c r="N129" s="2162"/>
      <c r="O129" s="2162"/>
      <c r="P129" s="2163"/>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163"/>
      <c r="Q130" s="2156"/>
      <c r="R130" s="2143"/>
      <c r="S130" s="2143"/>
      <c r="T130" s="2143"/>
      <c r="U130" s="2143"/>
      <c r="V130" s="2143"/>
      <c r="W130" s="2143"/>
      <c r="X130" s="2143"/>
      <c r="Y130" s="2143"/>
      <c r="Z130" s="2143"/>
      <c r="AA130" s="2143"/>
      <c r="AB130" s="2143"/>
      <c r="AC130" s="2143"/>
    </row>
    <row r="131" spans="1:29" ht="15" thickTop="1">
      <c r="A131" s="732"/>
      <c r="B131" s="670">
        <f>B46</f>
        <v>111</v>
      </c>
      <c r="C131" s="658"/>
      <c r="D131" s="658"/>
      <c r="E131" s="658"/>
      <c r="F131" s="658"/>
      <c r="G131" s="715"/>
      <c r="H131" s="715"/>
      <c r="I131" s="715"/>
      <c r="J131" s="715"/>
      <c r="K131" s="716"/>
      <c r="L131" s="717"/>
      <c r="M131" s="718"/>
      <c r="N131" s="2162"/>
      <c r="O131" s="2162"/>
      <c r="P131" s="2163"/>
      <c r="Q131" s="2156"/>
      <c r="R131" s="2143"/>
      <c r="S131" s="2143"/>
      <c r="T131" s="2143"/>
      <c r="U131" s="2143"/>
      <c r="V131" s="2143"/>
      <c r="W131" s="2143"/>
      <c r="X131" s="2143"/>
      <c r="Y131" s="2143"/>
      <c r="Z131" s="2143"/>
      <c r="AA131" s="2143"/>
      <c r="AB131" s="2143"/>
      <c r="AC131" s="2143"/>
    </row>
    <row r="132" spans="1:29" ht="15.75" thickBot="1">
      <c r="A132" s="666"/>
      <c r="B132" s="675"/>
      <c r="C132" s="697"/>
      <c r="D132" s="697"/>
      <c r="E132" s="697"/>
      <c r="F132" s="697"/>
      <c r="G132" s="668"/>
      <c r="H132" s="668"/>
      <c r="I132" s="668"/>
      <c r="J132" s="668"/>
      <c r="K132" s="668"/>
      <c r="L132" s="668"/>
      <c r="M132" s="669"/>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5"/>
      <c r="B133" s="670">
        <f>B47</f>
        <v>111</v>
      </c>
      <c r="C133" s="658"/>
      <c r="D133" s="658"/>
      <c r="E133" s="658"/>
      <c r="F133" s="658"/>
      <c r="G133" s="686"/>
      <c r="H133" s="686"/>
      <c r="I133" s="686"/>
      <c r="J133" s="686"/>
      <c r="K133" s="686"/>
      <c r="L133" s="687"/>
      <c r="M133" s="688"/>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5"/>
      <c r="B134" s="733"/>
      <c r="C134" s="697"/>
      <c r="D134" s="697"/>
      <c r="E134" s="697"/>
      <c r="F134" s="697"/>
      <c r="G134" s="723"/>
      <c r="H134" s="723"/>
      <c r="I134" s="723"/>
      <c r="J134" s="723"/>
      <c r="K134" s="723"/>
      <c r="L134" s="723"/>
      <c r="M134" s="724"/>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8" sqref="D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3"/>
      <c r="C1" s="2102"/>
      <c r="D1" s="2102"/>
      <c r="E1" s="2102"/>
      <c r="F1" s="2102"/>
      <c r="G1" s="2102"/>
      <c r="H1" s="2102"/>
      <c r="I1" s="2102"/>
      <c r="J1" s="2102"/>
      <c r="K1" s="419">
        <f>MATCH(B1,'数据-取费表'!A6:A16,0)+5</f>
        <v>9</v>
      </c>
    </row>
    <row r="2" spans="1:31" s="2039" customFormat="1" ht="18" customHeight="1">
      <c r="A2" s="2099" t="s">
        <v>467</v>
      </c>
      <c r="B2" s="2103">
        <f ca="1">C36</f>
        <v>208112</v>
      </c>
      <c r="C2" s="2102"/>
      <c r="D2" s="2102"/>
      <c r="E2" s="2102"/>
      <c r="F2" s="2102"/>
      <c r="G2" s="2102"/>
      <c r="H2" s="2102"/>
      <c r="I2" s="2102"/>
      <c r="J2" s="2102"/>
      <c r="K2" s="2102"/>
    </row>
    <row r="3" spans="1:31" s="2039" customFormat="1" ht="18" customHeight="1">
      <c r="A3" s="2104" t="s">
        <v>1686</v>
      </c>
      <c r="B3" s="2105">
        <f ca="1">ROUND(B2*10000/IF(B1="",'数据-汇总表'!E3,INDIRECT("'数据-取费表'!K"&amp;$K$1)),0)</f>
        <v>15254</v>
      </c>
      <c r="C3" s="2102"/>
      <c r="D3" s="2102"/>
      <c r="E3" s="2102"/>
      <c r="F3" s="2102"/>
      <c r="G3" s="2102"/>
      <c r="H3" s="2102"/>
      <c r="I3" s="2102"/>
      <c r="J3" s="2102"/>
      <c r="K3" s="2102"/>
    </row>
    <row r="4" spans="1:31" s="2039" customFormat="1" ht="18" customHeight="1">
      <c r="A4" s="423" t="s">
        <v>468</v>
      </c>
      <c r="B4" s="424">
        <f ca="1">ROUND(B2*10000/IF(B1="",'数据-汇总表'!D3,INDIRECT("'数据-取费表'!R"&amp;$K$1)),0)</f>
        <v>55678</v>
      </c>
      <c r="C4" s="425"/>
      <c r="D4" s="419"/>
      <c r="E4" s="419"/>
      <c r="F4" s="419"/>
      <c r="G4" s="419"/>
      <c r="H4" s="419"/>
      <c r="I4" s="419"/>
      <c r="J4" s="419"/>
      <c r="K4" s="419"/>
    </row>
    <row r="5" spans="1:31" s="2039" customFormat="1" ht="18" customHeight="1" thickBot="1">
      <c r="A5" s="426"/>
      <c r="B5" s="427">
        <f ca="1">ROUND(B2/(IF(B1="",'数据-汇总表'!D3,INDIRECT("'数据-取费表'!R"&amp;$K$1))/666.67),0)</f>
        <v>3712</v>
      </c>
      <c r="C5" s="428" t="s">
        <v>469</v>
      </c>
      <c r="D5" s="419"/>
      <c r="E5" s="419"/>
      <c r="F5" s="419"/>
      <c r="G5" s="419"/>
      <c r="H5" s="419"/>
      <c r="I5" s="419"/>
      <c r="J5" s="419"/>
      <c r="K5" s="419"/>
    </row>
    <row r="6" spans="1:31" s="2109" customFormat="1" ht="16.5" customHeight="1">
      <c r="A6" s="2852" t="s">
        <v>1844</v>
      </c>
      <c r="B6" s="2853"/>
      <c r="C6" s="2854">
        <f ca="1">SUM(C10:K10)</f>
        <v>369897</v>
      </c>
      <c r="D6" s="2853"/>
      <c r="E6" s="2853"/>
      <c r="F6" s="2853"/>
      <c r="G6" s="2853"/>
      <c r="H6" s="2853"/>
      <c r="I6" s="2853"/>
      <c r="J6" s="2853"/>
      <c r="K6" s="2855"/>
    </row>
    <row r="7" spans="1:31" s="2111" customFormat="1" ht="15">
      <c r="A7" s="2856" t="s">
        <v>470</v>
      </c>
      <c r="B7" s="2857" t="s">
        <v>471</v>
      </c>
      <c r="C7" s="433" t="s">
        <v>924</v>
      </c>
      <c r="D7" s="433" t="s">
        <v>1679</v>
      </c>
      <c r="E7" s="433" t="s">
        <v>2988</v>
      </c>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0" t="s">
        <v>1847</v>
      </c>
      <c r="B8" s="260" t="s">
        <v>472</v>
      </c>
      <c r="C8" s="2858">
        <f>'不动产比较法-住宅'!B3</f>
        <v>29836</v>
      </c>
      <c r="D8" s="2858">
        <f>'不动产比较法-办公'!B3</f>
        <v>18566</v>
      </c>
      <c r="E8" s="2858">
        <f ca="1">不动产收益法!B3</f>
        <v>22821</v>
      </c>
      <c r="F8" s="2858"/>
      <c r="G8" s="2858"/>
      <c r="H8" s="2858"/>
      <c r="I8" s="2858"/>
      <c r="J8" s="2858"/>
      <c r="K8" s="285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0" t="s">
        <v>1848</v>
      </c>
      <c r="B9" s="260" t="s">
        <v>473</v>
      </c>
      <c r="C9" s="438">
        <f>SUMIF('数据-汇总表'!$C19:$C33,'剩余法-待开发'!C7,'数据-汇总表'!$E19:$E33)</f>
        <v>103065.77</v>
      </c>
      <c r="D9" s="438">
        <f>SUMIF('数据-汇总表'!$C19:$C33,'剩余法-待开发'!D7,'数据-汇总表'!$E19:$E33)</f>
        <v>25000</v>
      </c>
      <c r="E9" s="438">
        <f>SUMIF('数据-汇总表'!$C19:$C33,'剩余法-待开发'!E7,'数据-汇总表'!$E19:$E33)</f>
        <v>7000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60" t="s">
        <v>1849</v>
      </c>
      <c r="B10" s="2846" t="s">
        <v>474</v>
      </c>
      <c r="C10" s="3052">
        <f>'不动产比较法-住宅'!B2</f>
        <v>307507</v>
      </c>
      <c r="D10" s="3052">
        <f>'不动产比较法-办公'!B2</f>
        <v>46415</v>
      </c>
      <c r="E10" s="3052">
        <f ca="1">不动产收益法!B2</f>
        <v>15975</v>
      </c>
      <c r="F10" s="2861"/>
      <c r="G10" s="2861"/>
      <c r="H10" s="2861"/>
      <c r="I10" s="2861"/>
      <c r="J10" s="2861"/>
      <c r="K10" s="2862"/>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3" t="s">
        <v>1845</v>
      </c>
      <c r="B11" s="2853"/>
      <c r="C11" s="2853"/>
      <c r="D11" s="2853"/>
      <c r="E11" s="2853"/>
      <c r="F11" s="2853"/>
      <c r="G11" s="2853"/>
      <c r="H11" s="2853"/>
      <c r="I11" s="2853"/>
      <c r="J11" s="2853"/>
      <c r="K11" s="2855"/>
    </row>
    <row r="12" spans="1:31" s="2083" customFormat="1" ht="13.5" customHeight="1">
      <c r="A12" s="2864" t="s">
        <v>470</v>
      </c>
      <c r="B12" s="2836" t="s">
        <v>471</v>
      </c>
      <c r="C12" s="2865" t="s">
        <v>475</v>
      </c>
      <c r="D12" s="2832" t="s">
        <v>476</v>
      </c>
      <c r="E12" s="2832" t="s">
        <v>477</v>
      </c>
      <c r="F12" s="2832" t="s">
        <v>478</v>
      </c>
      <c r="G12" s="2836"/>
      <c r="H12" s="2837"/>
      <c r="I12" s="2837"/>
      <c r="J12" s="2837"/>
      <c r="K12" s="2838"/>
    </row>
    <row r="13" spans="1:31" s="2114" customFormat="1" ht="13.5" customHeight="1">
      <c r="A13" s="2866" t="s">
        <v>1850</v>
      </c>
      <c r="B13" s="2867" t="s">
        <v>479</v>
      </c>
      <c r="C13" s="447">
        <f ca="1">IF(B1="",'数据-取费表'!P16,INDIRECT("'数据-取费表'!p"&amp;$K$1)+INDIRECT("'数据-取费表'!t"&amp;$K$1))</f>
        <v>40116</v>
      </c>
      <c r="D13" s="2868"/>
      <c r="E13" s="2869"/>
      <c r="F13" s="2870"/>
      <c r="G13" s="2836"/>
      <c r="H13" s="2837"/>
      <c r="I13" s="2837"/>
      <c r="J13" s="2837"/>
      <c r="K13" s="2838"/>
    </row>
    <row r="14" spans="1:31" s="2114" customFormat="1" ht="13.5" customHeight="1">
      <c r="A14" s="2866" t="s">
        <v>1851</v>
      </c>
      <c r="B14" s="2867" t="s">
        <v>480</v>
      </c>
      <c r="C14" s="53">
        <f ca="1">ROUND(C13*F14,0)</f>
        <v>1203</v>
      </c>
      <c r="D14" s="2868"/>
      <c r="E14" s="2869"/>
      <c r="F14" s="2871">
        <f>'数据-取费表'!B33</f>
        <v>0.03</v>
      </c>
      <c r="G14" s="2836" t="s">
        <v>481</v>
      </c>
      <c r="H14" s="2837"/>
      <c r="I14" s="2837"/>
      <c r="J14" s="2837"/>
      <c r="K14" s="2838"/>
    </row>
    <row r="15" spans="1:31" s="2114" customFormat="1" ht="13.5" customHeight="1">
      <c r="A15" s="2866" t="s">
        <v>1852</v>
      </c>
      <c r="B15" s="2867" t="s">
        <v>482</v>
      </c>
      <c r="C15" s="53">
        <f ca="1">ROUND(IF(B1="",SUMIF('数据-取费表'!C:C,"住宅",'数据-取费表'!P:P)*F15,IF(INDIRECT("'数据-取费表'!c"&amp;$K$1)="住宅",INDIRECT("'数据-取费表'!P"&amp;$K$1)*F15,0)),0)</f>
        <v>1546</v>
      </c>
      <c r="D15" s="2868"/>
      <c r="E15" s="2869"/>
      <c r="F15" s="2871">
        <f>'数据-取费表'!B34</f>
        <v>0.05</v>
      </c>
      <c r="G15" s="2836" t="s">
        <v>483</v>
      </c>
      <c r="H15" s="2837"/>
      <c r="I15" s="2837"/>
      <c r="J15" s="2837"/>
      <c r="K15" s="2838"/>
    </row>
    <row r="16" spans="1:31" s="2115" customFormat="1" ht="13.5" customHeight="1">
      <c r="A16" s="2866" t="s">
        <v>1853</v>
      </c>
      <c r="B16" s="2867" t="s">
        <v>484</v>
      </c>
      <c r="C16" s="53">
        <f ca="1">ROUND(D16*E16/10000,0)</f>
        <v>2729</v>
      </c>
      <c r="D16" s="2868">
        <f ca="1">IF(B1="",'数据-汇总表'!E3,INDIRECT("'数据-取费表'!K"&amp;$K$1)+INDIRECT("'数据-取费表'!S"&amp;$K$1))</f>
        <v>136430.07</v>
      </c>
      <c r="E16" s="53">
        <f>'数据-取费表'!B35</f>
        <v>200</v>
      </c>
      <c r="F16" s="2871"/>
      <c r="G16" s="2836"/>
      <c r="H16" s="2837"/>
      <c r="I16" s="2837"/>
      <c r="J16" s="2837"/>
      <c r="K16" s="2838"/>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6" t="s">
        <v>1854</v>
      </c>
      <c r="B17" s="2867" t="s">
        <v>485</v>
      </c>
      <c r="C17" s="2872">
        <f ca="1">ROUND(C13*F17,0)</f>
        <v>602</v>
      </c>
      <c r="D17" s="472"/>
      <c r="E17" s="2872"/>
      <c r="F17" s="2873">
        <f>'数据-取费表'!B36</f>
        <v>1.4999999999999999E-2</v>
      </c>
      <c r="G17" s="260" t="s">
        <v>486</v>
      </c>
      <c r="H17" s="2839"/>
      <c r="I17" s="2839"/>
      <c r="J17" s="2839"/>
      <c r="K17" s="278"/>
    </row>
    <row r="18" spans="1:14" s="2114" customFormat="1" ht="13.5" customHeight="1">
      <c r="A18" s="2874" t="s">
        <v>1855</v>
      </c>
      <c r="B18" s="2875" t="s">
        <v>487</v>
      </c>
      <c r="C18" s="2876">
        <f ca="1">SUM(C13:C17)</f>
        <v>46196</v>
      </c>
      <c r="D18" s="2877"/>
      <c r="E18" s="465"/>
      <c r="F18" s="465"/>
      <c r="G18" s="2840" t="s">
        <v>2435</v>
      </c>
      <c r="H18" s="2841"/>
      <c r="I18" s="2841"/>
      <c r="J18" s="2841"/>
      <c r="K18" s="2842"/>
    </row>
    <row r="19" spans="1:14" s="2114" customFormat="1" ht="13.5" customHeight="1">
      <c r="A19" s="2874" t="s">
        <v>1856</v>
      </c>
      <c r="B19" s="2875" t="s">
        <v>488</v>
      </c>
      <c r="C19" s="2832">
        <f ca="1">ROUND(D19*E19/10000,0)</f>
        <v>0</v>
      </c>
      <c r="D19" s="2878">
        <f ca="1">D16</f>
        <v>136430.07</v>
      </c>
      <c r="E19" s="2832">
        <f>'数据-取费表'!B32</f>
        <v>0</v>
      </c>
      <c r="F19" s="465"/>
      <c r="G19" s="2836" t="s">
        <v>489</v>
      </c>
      <c r="H19" s="2837"/>
      <c r="I19" s="2841"/>
      <c r="J19" s="2841"/>
      <c r="K19" s="2842"/>
    </row>
    <row r="20" spans="1:14" s="2114" customFormat="1" ht="13.5" customHeight="1">
      <c r="A20" s="2874" t="s">
        <v>1857</v>
      </c>
      <c r="B20" s="2875" t="s">
        <v>490</v>
      </c>
      <c r="C20" s="2832">
        <f ca="1">C21+C22-IF(B1="",'数据-取费表'!B29,IF(G20="已全部缴纳",C21+C22,H20))</f>
        <v>1432</v>
      </c>
      <c r="D20" s="2878"/>
      <c r="E20" s="2832"/>
      <c r="F20" s="2879"/>
      <c r="G20" s="3112"/>
      <c r="H20" s="2834"/>
      <c r="I20" s="2835" t="s">
        <v>2660</v>
      </c>
      <c r="J20" s="2841"/>
      <c r="K20" s="2842"/>
    </row>
    <row r="21" spans="1:14" s="2114" customFormat="1" ht="13.5" customHeight="1">
      <c r="A21" s="2866" t="s">
        <v>1858</v>
      </c>
      <c r="B21" s="2867" t="s">
        <v>491</v>
      </c>
      <c r="C21" s="53">
        <f ca="1">ROUND(D21*E21/10000,0)</f>
        <v>1082</v>
      </c>
      <c r="D21" s="2868">
        <f ca="1">IF(B1="",'数据-汇总表'!E5,IF(INDIRECT("'数据-取费表'!c"&amp;$K$1)="住宅",INDIRECT("'数据-取费表'!k"&amp;$K$1),0))</f>
        <v>103065.77</v>
      </c>
      <c r="E21" s="53">
        <f>'数据-取费表'!B27</f>
        <v>105</v>
      </c>
      <c r="F21" s="2871"/>
      <c r="G21" s="26"/>
      <c r="H21" s="51"/>
      <c r="I21" s="51"/>
      <c r="J21" s="51"/>
      <c r="K21" s="2843"/>
    </row>
    <row r="22" spans="1:14" s="2114" customFormat="1" ht="13.5" customHeight="1">
      <c r="A22" s="2866" t="s">
        <v>1859</v>
      </c>
      <c r="B22" s="2867" t="s">
        <v>492</v>
      </c>
      <c r="C22" s="53">
        <f ca="1">ROUND(D22*E22/10000,0)</f>
        <v>350</v>
      </c>
      <c r="D22" s="2868">
        <f ca="1">IF(B1="",'数据-汇总表'!E6,IF(INDIRECT("'数据-取费表'!c"&amp;$K$1)="住宅",INDIRECT("'数据-取费表'!s"&amp;$K$1),INDIRECT("'数据-取费表'!k"&amp;$K$1)+INDIRECT("'数据-取费表'!s"&amp;$K$1)))</f>
        <v>33364.300000000003</v>
      </c>
      <c r="E22" s="53">
        <f>'数据-取费表'!B28</f>
        <v>105</v>
      </c>
      <c r="F22" s="2871"/>
      <c r="G22" s="26"/>
      <c r="H22" s="51"/>
      <c r="I22" s="51"/>
      <c r="J22" s="51"/>
      <c r="K22" s="2843"/>
    </row>
    <row r="23" spans="1:14" s="2114" customFormat="1" ht="13.5" customHeight="1">
      <c r="A23" s="2874" t="s">
        <v>1860</v>
      </c>
      <c r="B23" s="3058" t="s">
        <v>2843</v>
      </c>
      <c r="C23" s="2876">
        <f ca="1">ROUND((C18+C19+C20)*F23,0)</f>
        <v>714</v>
      </c>
      <c r="D23" s="465"/>
      <c r="E23" s="465"/>
      <c r="F23" s="2880">
        <f>'数据-取费表'!B37</f>
        <v>1.4999999999999999E-2</v>
      </c>
      <c r="G23" s="2836" t="s">
        <v>2436</v>
      </c>
      <c r="H23" s="2837"/>
      <c r="I23" s="2837"/>
      <c r="J23" s="2837"/>
      <c r="K23" s="2838"/>
      <c r="L23" s="2116"/>
      <c r="M23" s="2116"/>
      <c r="N23" s="2116"/>
    </row>
    <row r="24" spans="1:14" s="2114" customFormat="1" ht="13.5" customHeight="1">
      <c r="A24" s="2874" t="s">
        <v>1861</v>
      </c>
      <c r="B24" s="3058" t="s">
        <v>2846</v>
      </c>
      <c r="C24" s="2876">
        <f ca="1">ROUND(C6*F24,0)</f>
        <v>7398</v>
      </c>
      <c r="D24" s="472"/>
      <c r="E24" s="470"/>
      <c r="F24" s="2880">
        <f>'数据-取费表'!B38</f>
        <v>0.02</v>
      </c>
      <c r="G24" s="2845" t="s">
        <v>499</v>
      </c>
      <c r="H24" s="2839"/>
      <c r="I24" s="2839"/>
      <c r="J24" s="2839"/>
      <c r="K24" s="278"/>
      <c r="L24" s="2116"/>
      <c r="M24" s="2116"/>
      <c r="N24" s="2116"/>
    </row>
    <row r="25" spans="1:14" s="2117" customFormat="1" ht="13.5" customHeight="1">
      <c r="A25" s="2874" t="s">
        <v>1862</v>
      </c>
      <c r="B25" s="3058" t="s">
        <v>2844</v>
      </c>
      <c r="C25" s="464">
        <f>ROUND(F25/(1+'数据-取费表'!C42),4)</f>
        <v>2.9000000000000001E-2</v>
      </c>
      <c r="D25" s="459" t="s">
        <v>2838</v>
      </c>
      <c r="E25" s="466"/>
      <c r="F25" s="2880">
        <f>'数据-取费表'!B48+'数据-取费表'!B49</f>
        <v>3.0499999999999999E-2</v>
      </c>
      <c r="G25" s="2844" t="s">
        <v>2293</v>
      </c>
      <c r="H25" s="2837"/>
      <c r="I25" s="2837"/>
      <c r="J25" s="2837"/>
      <c r="K25" s="2838"/>
    </row>
    <row r="26" spans="1:14" s="2116" customFormat="1" ht="13.5" customHeight="1">
      <c r="A26" s="2874" t="s">
        <v>1863</v>
      </c>
      <c r="B26" s="3059" t="s">
        <v>2845</v>
      </c>
      <c r="C26" s="2881">
        <f ca="1">C28</f>
        <v>4716</v>
      </c>
      <c r="D26" s="464">
        <f ca="1">C27</f>
        <v>0.18149999999999999</v>
      </c>
      <c r="E26" s="466" t="s">
        <v>495</v>
      </c>
      <c r="F26" s="468">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8" customFormat="1" ht="13.5" customHeight="1">
      <c r="A27" s="800" t="s">
        <v>1858</v>
      </c>
      <c r="B27" s="2882" t="s">
        <v>496</v>
      </c>
      <c r="C27" s="2883">
        <f ca="1">ROUND(IF('数据-取费表'!B22&lt;=1,(1+C25)*F26*'数据-取费表'!B24,(1+C25)*(POWER((1+F26),'数据-取费表'!B24)-1)),4)</f>
        <v>0.18149999999999999</v>
      </c>
      <c r="D27" s="469"/>
      <c r="E27" s="470"/>
      <c r="F27" s="471"/>
      <c r="G27" s="2594" t="str">
        <f>IF('数据-取费表'!B22&lt;=1,"（1+取得税费率/(1+5%)）×年利率×建设期","（1+取得税费率）/(1+5%)×((1+年利率)^建设期-1)")</f>
        <v>（1+取得税费率）/(1+5%)×((1+年利率)^建设期-1)</v>
      </c>
      <c r="H27" s="2839"/>
      <c r="I27" s="2839"/>
      <c r="J27" s="2839"/>
      <c r="K27" s="278"/>
    </row>
    <row r="28" spans="1:14" s="2118" customFormat="1" ht="13.5" customHeight="1">
      <c r="A28" s="800" t="s">
        <v>1859</v>
      </c>
      <c r="B28" s="2882" t="s">
        <v>2847</v>
      </c>
      <c r="C28" s="2884">
        <f ca="1">ROUND(IF('数据-取费表'!B22&lt;=1,(C18+C19+C20+C23+C24)*F26*'数据-取费表'!B24/2,(C18+C19+C20+C23+C24)*(POWER((1+F26),'数据-取费表'!B24/2)-1)),0)</f>
        <v>4716</v>
      </c>
      <c r="D28" s="469"/>
      <c r="E28" s="470"/>
      <c r="F28" s="471"/>
      <c r="G28" s="2594" t="str">
        <f>IF('数据-取费表'!B22&lt;=1,"（1）-（4）项×年利率×建设期÷2","（1）-（4）项×((1+年利率)^(建设期÷2)-1)")</f>
        <v>（1）-（4）项×((1+年利率)^(建设期÷2)-1)</v>
      </c>
      <c r="H28" s="2839"/>
      <c r="I28" s="2839"/>
      <c r="J28" s="2839"/>
      <c r="K28" s="278"/>
    </row>
    <row r="29" spans="1:14" s="2118" customFormat="1" ht="13.5" customHeight="1">
      <c r="A29" s="2885" t="s">
        <v>1864</v>
      </c>
      <c r="B29" s="2875" t="s">
        <v>497</v>
      </c>
      <c r="C29" s="2876">
        <f ca="1">ROUND(C6*F29/(1+'数据-取费表'!C42),0)</f>
        <v>19728</v>
      </c>
      <c r="D29" s="465"/>
      <c r="E29" s="465"/>
      <c r="F29" s="3060">
        <f>'数据-取费表'!B41</f>
        <v>5.6000000000000001E-2</v>
      </c>
      <c r="G29" s="2845" t="s">
        <v>498</v>
      </c>
      <c r="H29" s="2837"/>
      <c r="I29" s="2837"/>
      <c r="J29" s="2837"/>
      <c r="K29" s="2838"/>
    </row>
    <row r="30" spans="1:14" s="2119" customFormat="1" ht="13.5" customHeight="1">
      <c r="A30" s="1632" t="s">
        <v>1865</v>
      </c>
      <c r="B30" s="2886" t="s">
        <v>500</v>
      </c>
      <c r="C30" s="2881">
        <f ca="1">C31</f>
        <v>80184</v>
      </c>
      <c r="D30" s="474">
        <f ca="1">C32</f>
        <v>0.21049999999999999</v>
      </c>
      <c r="E30" s="466" t="s">
        <v>495</v>
      </c>
      <c r="F30" s="468"/>
      <c r="G30" s="2836" t="s">
        <v>501</v>
      </c>
      <c r="H30" s="2837"/>
      <c r="I30" s="2837"/>
      <c r="J30" s="2837"/>
      <c r="K30" s="2838"/>
    </row>
    <row r="31" spans="1:14" s="2118" customFormat="1" ht="13.5" customHeight="1">
      <c r="A31" s="800" t="s">
        <v>1858</v>
      </c>
      <c r="B31" s="2882"/>
      <c r="C31" s="447">
        <f ca="1">C18+C19+C20+C23+C24+C26+C29</f>
        <v>80184</v>
      </c>
      <c r="D31" s="469"/>
      <c r="E31" s="470"/>
      <c r="F31" s="471"/>
      <c r="G31" s="260"/>
      <c r="H31" s="2839"/>
      <c r="I31" s="2839"/>
      <c r="J31" s="2839"/>
      <c r="K31" s="278"/>
    </row>
    <row r="32" spans="1:14" s="2118" customFormat="1" ht="13.5" customHeight="1">
      <c r="A32" s="800" t="s">
        <v>1859</v>
      </c>
      <c r="B32" s="2882"/>
      <c r="C32" s="53">
        <f ca="1">ROUND(C25+D26,4)</f>
        <v>0.21049999999999999</v>
      </c>
      <c r="D32" s="469"/>
      <c r="E32" s="470"/>
      <c r="F32" s="471"/>
      <c r="G32" s="260"/>
      <c r="H32" s="2839"/>
      <c r="I32" s="2839"/>
      <c r="J32" s="2839"/>
      <c r="K32" s="278"/>
    </row>
    <row r="33" spans="1:11" s="2120" customFormat="1" ht="13.5" customHeight="1">
      <c r="A33" s="3057" t="s">
        <v>2842</v>
      </c>
      <c r="B33" s="3055" t="s">
        <v>2840</v>
      </c>
      <c r="C33" s="475">
        <f ca="1">C35</f>
        <v>7804</v>
      </c>
      <c r="D33" s="464">
        <f ca="1">C34</f>
        <v>0.14410000000000001</v>
      </c>
      <c r="E33" s="466" t="s">
        <v>495</v>
      </c>
      <c r="F33" s="476">
        <f ca="1">IF(B1="",'数据-取费表'!Q16,INDIRECT("'数据-取费表'!q"&amp;$K$1))</f>
        <v>0.14000000000000001</v>
      </c>
      <c r="G33" s="2840"/>
      <c r="H33" s="2841"/>
      <c r="I33" s="2841"/>
      <c r="J33" s="2841"/>
      <c r="K33" s="2842"/>
    </row>
    <row r="34" spans="1:11" s="2121" customFormat="1" ht="13.5" customHeight="1">
      <c r="A34" s="372" t="s">
        <v>1858</v>
      </c>
      <c r="B34" s="2887" t="s">
        <v>502</v>
      </c>
      <c r="C34" s="469">
        <f ca="1">ROUND((1+C25)*F33,4)</f>
        <v>0.14410000000000001</v>
      </c>
      <c r="D34" s="469"/>
      <c r="E34" s="470"/>
      <c r="F34" s="477"/>
      <c r="G34" s="260" t="s">
        <v>2294</v>
      </c>
      <c r="H34" s="2839"/>
      <c r="I34" s="2839"/>
      <c r="J34" s="2839"/>
      <c r="K34" s="278"/>
    </row>
    <row r="35" spans="1:11" s="2121" customFormat="1" ht="13.5" customHeight="1" thickBot="1">
      <c r="A35" s="1633" t="s">
        <v>1859</v>
      </c>
      <c r="B35" s="3056" t="s">
        <v>2848</v>
      </c>
      <c r="C35" s="1625">
        <f ca="1">ROUND((C18+C19+C20+C23+C24)*F33,0)</f>
        <v>7804</v>
      </c>
      <c r="D35" s="1626"/>
      <c r="E35" s="2888"/>
      <c r="F35" s="1627"/>
      <c r="G35" s="2846"/>
      <c r="H35" s="2847"/>
      <c r="I35" s="2847"/>
      <c r="J35" s="2847"/>
      <c r="K35" s="2848"/>
    </row>
    <row r="36" spans="1:11" s="2083" customFormat="1" ht="13.5" customHeight="1" thickBot="1">
      <c r="A36" s="283" t="s">
        <v>1846</v>
      </c>
      <c r="B36" s="2850"/>
      <c r="C36" s="2889">
        <f ca="1">ROUND((C6-C30-C33)/(1+D30+D33),0)</f>
        <v>208112</v>
      </c>
      <c r="D36" s="2850"/>
      <c r="E36" s="2850"/>
      <c r="F36" s="2850"/>
      <c r="G36" s="2849" t="s">
        <v>2849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203" t="str">
        <f>项目基本情况!B1</f>
        <v>出让国有建设用地使用权预评估</v>
      </c>
      <c r="C37" s="3203"/>
      <c r="D37" s="3203"/>
      <c r="E37" s="3203"/>
      <c r="F37" s="3203"/>
      <c r="G37" s="3203"/>
      <c r="H37" s="3203"/>
      <c r="I37" s="3203"/>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土地估价师、土地估价师</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8" t="s">
        <v>466</v>
      </c>
      <c r="B1" s="2833"/>
      <c r="C1" s="2102"/>
      <c r="D1" s="2102"/>
      <c r="E1" s="2102"/>
      <c r="F1" s="2102"/>
      <c r="G1" s="2102"/>
      <c r="H1" s="2102"/>
      <c r="I1" s="2102"/>
      <c r="J1" s="2102"/>
      <c r="K1" s="419">
        <f>MATCH(B1,'数据-取费表'!A6:A16,0)+5</f>
        <v>9</v>
      </c>
    </row>
    <row r="2" spans="1:41" s="2039" customFormat="1" ht="18" customHeight="1">
      <c r="A2" s="420" t="s">
        <v>467</v>
      </c>
      <c r="B2" s="421">
        <f ca="1">C32</f>
        <v>0</v>
      </c>
      <c r="C2" s="2102"/>
      <c r="D2" s="2102"/>
      <c r="E2" s="2102"/>
      <c r="F2" s="2102"/>
      <c r="G2" s="2102"/>
      <c r="H2" s="2102"/>
      <c r="I2" s="2102"/>
      <c r="J2" s="2102"/>
      <c r="K2" s="2102"/>
    </row>
    <row r="3" spans="1:41" s="2039" customFormat="1" ht="18" customHeight="1">
      <c r="A3" s="1376" t="s">
        <v>1686</v>
      </c>
      <c r="B3" s="422">
        <f ca="1">ROUND(B2*10000/IF(B1="",'数据-汇总表'!E3,INDIRECT("'数据-取费表'!K"&amp;$K$1)),0)</f>
        <v>0</v>
      </c>
      <c r="C3" s="2102"/>
      <c r="D3" s="2102"/>
      <c r="E3" s="2102"/>
      <c r="F3" s="2102"/>
      <c r="G3" s="2102"/>
      <c r="H3" s="2102"/>
      <c r="I3" s="2102"/>
      <c r="J3" s="2102"/>
      <c r="K3" s="2102"/>
    </row>
    <row r="4" spans="1:41" s="2039" customFormat="1" ht="18" customHeight="1">
      <c r="A4" s="423" t="s">
        <v>468</v>
      </c>
      <c r="B4" s="424">
        <f ca="1">ROUND(B2*10000/IF(B1="",'数据-汇总表'!D3,INDIRECT("'数据-取费表'!R"&amp;$K$1)),0)</f>
        <v>0</v>
      </c>
      <c r="C4" s="2059"/>
      <c r="D4" s="2102"/>
      <c r="E4" s="2102"/>
      <c r="F4" s="2102"/>
      <c r="G4" s="2102"/>
      <c r="H4" s="2102"/>
      <c r="I4" s="2102"/>
      <c r="J4" s="2102"/>
      <c r="K4" s="2102"/>
    </row>
    <row r="5" spans="1:41" s="2039" customFormat="1" ht="18" customHeight="1" thickBot="1">
      <c r="A5" s="426"/>
      <c r="B5" s="427">
        <f ca="1">ROUND(B2/(IF(B1="",'数据-汇总表'!D3,INDIRECT("'数据-取费表'!R"&amp;$K$1))/666.67),0)</f>
        <v>0</v>
      </c>
      <c r="C5" s="428" t="s">
        <v>469</v>
      </c>
      <c r="D5" s="2102"/>
      <c r="E5" s="2102"/>
      <c r="F5" s="2102"/>
      <c r="G5" s="2102"/>
      <c r="H5" s="2102"/>
      <c r="I5" s="2102"/>
      <c r="J5" s="2102"/>
      <c r="K5" s="2102"/>
    </row>
    <row r="6" spans="1:41" s="2109" customFormat="1" ht="16.5" customHeight="1">
      <c r="A6" s="429" t="s">
        <v>2661</v>
      </c>
      <c r="B6" s="430"/>
      <c r="C6" s="1620">
        <f>SUM(C10:K10)</f>
        <v>0</v>
      </c>
      <c r="D6" s="2107"/>
      <c r="E6" s="2107"/>
      <c r="F6" s="2107"/>
      <c r="G6" s="2107"/>
      <c r="H6" s="2107"/>
      <c r="I6" s="2107"/>
      <c r="J6" s="2107"/>
      <c r="K6" s="2108"/>
    </row>
    <row r="7" spans="1:41" s="2111" customFormat="1" ht="15">
      <c r="A7" s="431" t="s">
        <v>470</v>
      </c>
      <c r="B7" s="432" t="s">
        <v>471</v>
      </c>
      <c r="C7" s="433"/>
      <c r="D7" s="433"/>
      <c r="E7" s="433"/>
      <c r="F7" s="433"/>
      <c r="G7" s="433"/>
      <c r="H7" s="433"/>
      <c r="I7" s="433"/>
      <c r="J7" s="433"/>
      <c r="K7" s="434"/>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5" t="s">
        <v>472</v>
      </c>
      <c r="C8" s="436"/>
      <c r="D8" s="436"/>
      <c r="E8" s="436"/>
      <c r="F8" s="436"/>
      <c r="G8" s="436"/>
      <c r="H8" s="436"/>
      <c r="I8" s="436"/>
      <c r="J8" s="436"/>
      <c r="K8" s="437"/>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1" t="s">
        <v>470</v>
      </c>
      <c r="B12" s="441" t="s">
        <v>471</v>
      </c>
      <c r="C12" s="442" t="s">
        <v>475</v>
      </c>
      <c r="D12" s="443" t="s">
        <v>476</v>
      </c>
      <c r="E12" s="443" t="s">
        <v>477</v>
      </c>
      <c r="F12" s="443" t="s">
        <v>478</v>
      </c>
      <c r="G12" s="441"/>
      <c r="H12" s="444"/>
      <c r="I12" s="444"/>
      <c r="J12" s="444"/>
      <c r="K12" s="445"/>
    </row>
    <row r="13" spans="1:41" s="2114" customFormat="1" ht="13.5" customHeight="1">
      <c r="A13" s="1630" t="s">
        <v>1850</v>
      </c>
      <c r="B13" s="446" t="s">
        <v>479</v>
      </c>
      <c r="C13" s="447">
        <f ca="1">IF(B1="",'数据-取费表'!M16,INDIRECT("'数据-取费表'!M"&amp;$K$1)+INDIRECT("'数据-取费表'!t"&amp;$K$1))</f>
        <v>40116</v>
      </c>
      <c r="D13" s="448"/>
      <c r="E13" s="362"/>
      <c r="F13" s="449"/>
      <c r="G13" s="441"/>
      <c r="H13" s="444"/>
      <c r="I13" s="444"/>
      <c r="J13" s="444"/>
      <c r="K13" s="445"/>
    </row>
    <row r="14" spans="1:41" s="2114" customFormat="1" ht="13.5" customHeight="1">
      <c r="A14" s="1630" t="s">
        <v>1851</v>
      </c>
      <c r="B14" s="446" t="s">
        <v>480</v>
      </c>
      <c r="C14" s="53">
        <f ca="1">ROUND(C13*F14,0)</f>
        <v>1203</v>
      </c>
      <c r="D14" s="448"/>
      <c r="E14" s="362"/>
      <c r="F14" s="450">
        <f>'数据-取费表'!B33</f>
        <v>0.03</v>
      </c>
      <c r="G14" s="441" t="s">
        <v>503</v>
      </c>
      <c r="H14" s="444"/>
      <c r="I14" s="444"/>
      <c r="J14" s="444"/>
      <c r="K14" s="445"/>
    </row>
    <row r="15" spans="1:41" s="2114" customFormat="1" ht="13.5" customHeight="1">
      <c r="A15" s="1630" t="s">
        <v>1852</v>
      </c>
      <c r="B15" s="446" t="s">
        <v>482</v>
      </c>
      <c r="C15" s="53">
        <f ca="1">ROUND(IF(B1="",SUMIF('数据-取费表'!C:C,"住宅",'数据-取费表'!M:M)*F15,IF(INDIRECT("'数据-取费表'!c"&amp;$K$1)="住宅",INDIRECT("'数据-取费表'!M"&amp;$K$1)*F15,0)),0)</f>
        <v>1546</v>
      </c>
      <c r="D15" s="448"/>
      <c r="E15" s="362"/>
      <c r="F15" s="450">
        <f>'数据-取费表'!B34</f>
        <v>0.05</v>
      </c>
      <c r="G15" s="441" t="s">
        <v>503</v>
      </c>
      <c r="H15" s="444"/>
      <c r="I15" s="444"/>
      <c r="J15" s="444"/>
      <c r="K15" s="445"/>
    </row>
    <row r="16" spans="1:41" s="2115" customFormat="1" ht="13.5" customHeight="1">
      <c r="A16" s="1630" t="s">
        <v>1853</v>
      </c>
      <c r="B16" s="446" t="s">
        <v>484</v>
      </c>
      <c r="C16" s="53">
        <f ca="1">ROUND(D16*E16/10000,0)</f>
        <v>2729</v>
      </c>
      <c r="D16" s="448">
        <f ca="1">IF(B1="",'数据-汇总表'!E3,INDIRECT("'数据-取费表'!K"&amp;$K$1)+INDIRECT("'数据-取费表'!S"&amp;$K$1))</f>
        <v>136430.07</v>
      </c>
      <c r="E16" s="53">
        <f>'数据-取费表'!B35</f>
        <v>200</v>
      </c>
      <c r="F16" s="450"/>
      <c r="G16" s="441"/>
      <c r="H16" s="444"/>
      <c r="I16" s="444"/>
      <c r="J16" s="444"/>
      <c r="K16" s="445"/>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6" t="s">
        <v>485</v>
      </c>
      <c r="C17" s="451">
        <f ca="1">ROUND(C13*F17,0)</f>
        <v>602</v>
      </c>
      <c r="D17" s="452"/>
      <c r="E17" s="451"/>
      <c r="F17" s="453">
        <f>'数据-取费表'!B36</f>
        <v>1.4999999999999999E-2</v>
      </c>
      <c r="G17" s="441" t="s">
        <v>503</v>
      </c>
      <c r="H17" s="454"/>
      <c r="I17" s="454"/>
      <c r="J17" s="454"/>
      <c r="K17" s="455"/>
    </row>
    <row r="18" spans="1:14" s="2117" customFormat="1" ht="13.5" customHeight="1">
      <c r="A18" s="1631" t="s">
        <v>1855</v>
      </c>
      <c r="B18" s="456" t="s">
        <v>487</v>
      </c>
      <c r="C18" s="457">
        <f ca="1">SUM(C13:C17)</f>
        <v>46196</v>
      </c>
      <c r="D18" s="458"/>
      <c r="E18" s="459"/>
      <c r="F18" s="459"/>
      <c r="G18" s="1323" t="s">
        <v>2437</v>
      </c>
      <c r="H18" s="444"/>
      <c r="I18" s="444"/>
      <c r="J18" s="444"/>
      <c r="K18" s="445"/>
    </row>
    <row r="19" spans="1:14" s="2117" customFormat="1" ht="13.5" customHeight="1">
      <c r="A19" s="1631" t="s">
        <v>1856</v>
      </c>
      <c r="B19" s="456" t="s">
        <v>493</v>
      </c>
      <c r="C19" s="457">
        <f ca="1">ROUND(C18*F19,0)</f>
        <v>693</v>
      </c>
      <c r="D19" s="459"/>
      <c r="E19" s="459"/>
      <c r="F19" s="463">
        <f>'数据-取费表'!B37</f>
        <v>1.4999999999999999E-2</v>
      </c>
      <c r="G19" s="441" t="s">
        <v>504</v>
      </c>
      <c r="H19" s="444"/>
      <c r="I19" s="444"/>
      <c r="J19" s="444"/>
      <c r="K19" s="445"/>
      <c r="L19" s="2119"/>
      <c r="M19" s="2119"/>
      <c r="N19" s="2119"/>
    </row>
    <row r="20" spans="1:14" s="2117" customFormat="1" ht="13.5" customHeight="1">
      <c r="A20" s="1631" t="s">
        <v>1857</v>
      </c>
      <c r="B20" s="456" t="s">
        <v>505</v>
      </c>
      <c r="C20" s="3053">
        <f>F20</f>
        <v>0.02</v>
      </c>
      <c r="D20" s="466" t="s">
        <v>506</v>
      </c>
      <c r="E20" s="466"/>
      <c r="F20" s="483">
        <f>'数据-取费表'!B38</f>
        <v>0.02</v>
      </c>
      <c r="G20" s="1323" t="s">
        <v>507</v>
      </c>
      <c r="H20" s="444"/>
      <c r="I20" s="444"/>
      <c r="J20" s="444"/>
      <c r="K20" s="445"/>
      <c r="L20" s="2119"/>
      <c r="M20" s="2119"/>
      <c r="N20" s="2119"/>
    </row>
    <row r="21" spans="1:14" s="2119" customFormat="1" ht="13.5" customHeight="1">
      <c r="A21" s="1631" t="s">
        <v>1860</v>
      </c>
      <c r="B21" s="458" t="s">
        <v>494</v>
      </c>
      <c r="C21" s="467">
        <f ca="1">C22</f>
        <v>3967</v>
      </c>
      <c r="D21" s="464">
        <f ca="1">C23</f>
        <v>1.6999999999999999E-3</v>
      </c>
      <c r="E21" s="466" t="s">
        <v>508</v>
      </c>
      <c r="F21" s="468">
        <f ca="1">'数据-取费表'!B40</f>
        <v>4.7500000000000001E-2</v>
      </c>
      <c r="G21" s="1323" t="str">
        <f>IF('数据-取费表'!B22&lt;=1,"单利计息。","复利计息。")&amp;"建造成本、管理费用及销售费用产生的利息。"</f>
        <v>复利计息。建造成本、管理费用及销售费用产生的利息。</v>
      </c>
      <c r="H21" s="444"/>
      <c r="I21" s="444"/>
      <c r="J21" s="444"/>
      <c r="K21" s="445"/>
      <c r="L21" s="2116" t="s">
        <v>2459</v>
      </c>
    </row>
    <row r="22" spans="1:14" s="2118" customFormat="1" ht="13.5" customHeight="1">
      <c r="A22" s="1630" t="s">
        <v>1850</v>
      </c>
      <c r="B22" s="1324" t="s">
        <v>2440</v>
      </c>
      <c r="C22" s="484">
        <f ca="1">ROUND(IF('数据-取费表'!B22&lt;=1,(C18+C19)*F21*'数据-取费表'!B20/2,(C18+C19)*(POWER((1+F21),'数据-取费表'!B20/2)-1)),0)</f>
        <v>3967</v>
      </c>
      <c r="D22" s="469"/>
      <c r="E22" s="470"/>
      <c r="F22" s="471"/>
      <c r="G22" s="2589" t="str">
        <f>IF('数据-取费表'!B22&lt;=1,"((1)+(2))×年利率×建设期÷2","((1)+(2))×((1+年利率)^(建设期÷2)-1)")</f>
        <v>((1)+(2))×((1+年利率)^(建设期÷2)-1)</v>
      </c>
      <c r="H22" s="454"/>
      <c r="I22" s="454"/>
      <c r="J22" s="454"/>
      <c r="K22" s="455"/>
    </row>
    <row r="23" spans="1:14" s="2118" customFormat="1" ht="13.5" customHeight="1">
      <c r="A23" s="1630" t="s">
        <v>1851</v>
      </c>
      <c r="B23" s="1324" t="s">
        <v>509</v>
      </c>
      <c r="C23" s="485">
        <f ca="1">ROUND(IF('数据-取费表'!B22&lt;=1,F20*F21*'数据-取费表'!B20/2,F20*(POWER((1+F21),'数据-取费表'!B20/2)-1)),4)</f>
        <v>1.6999999999999999E-3</v>
      </c>
      <c r="D23" s="469"/>
      <c r="E23" s="470"/>
      <c r="F23" s="471"/>
      <c r="G23" s="2589" t="str">
        <f>IF('数据-取费表'!B22&lt;=1,"销售费用率×年利率×建设期÷2","销售费用率×((1+年利率)^(建设期÷2)-1)")</f>
        <v>销售费用率×((1+年利率)^(建设期÷2)-1)</v>
      </c>
      <c r="H23" s="454"/>
      <c r="I23" s="454"/>
      <c r="J23" s="454"/>
      <c r="K23" s="455"/>
    </row>
    <row r="24" spans="1:14" s="2118" customFormat="1" ht="13.5" customHeight="1">
      <c r="A24" s="1631" t="s">
        <v>1861</v>
      </c>
      <c r="B24" s="3055" t="s">
        <v>2841</v>
      </c>
      <c r="C24" s="475">
        <f ca="1">C25</f>
        <v>6564</v>
      </c>
      <c r="D24" s="486">
        <f ca="1">C26</f>
        <v>2.8E-3</v>
      </c>
      <c r="E24" s="466" t="s">
        <v>508</v>
      </c>
      <c r="F24" s="476">
        <f ca="1">IF(B1="",'数据-取费表'!Q16,INDIRECT("'数据-取费表'!q"&amp;$K$1))</f>
        <v>0.14000000000000001</v>
      </c>
      <c r="G24" s="441"/>
      <c r="H24" s="444"/>
      <c r="I24" s="444"/>
      <c r="J24" s="444"/>
      <c r="K24" s="445"/>
    </row>
    <row r="25" spans="1:14" s="2118" customFormat="1" ht="13.5" customHeight="1">
      <c r="A25" s="1630" t="s">
        <v>1850</v>
      </c>
      <c r="B25" s="1324" t="s">
        <v>2441</v>
      </c>
      <c r="C25" s="487">
        <f ca="1">ROUND((C18+C19)*F24,0)</f>
        <v>6564</v>
      </c>
      <c r="D25" s="469"/>
      <c r="E25" s="470"/>
      <c r="F25" s="477"/>
      <c r="G25" s="1322" t="s">
        <v>2438</v>
      </c>
      <c r="H25" s="454"/>
      <c r="I25" s="454"/>
      <c r="J25" s="454"/>
      <c r="K25" s="455"/>
    </row>
    <row r="26" spans="1:14" s="2118" customFormat="1" ht="13.5" customHeight="1">
      <c r="A26" s="1630" t="s">
        <v>1851</v>
      </c>
      <c r="B26" s="1324" t="s">
        <v>510</v>
      </c>
      <c r="C26" s="488">
        <f ca="1">ROUND(F20*F24,4)</f>
        <v>2.8E-3</v>
      </c>
      <c r="D26" s="469"/>
      <c r="E26" s="478"/>
      <c r="F26" s="477"/>
      <c r="G26" s="1322" t="s">
        <v>511</v>
      </c>
      <c r="H26" s="454"/>
      <c r="I26" s="454"/>
      <c r="J26" s="454"/>
      <c r="K26" s="455"/>
    </row>
    <row r="27" spans="1:14" s="2118" customFormat="1" ht="13.5" customHeight="1">
      <c r="A27" s="1634" t="s">
        <v>1869</v>
      </c>
      <c r="B27" s="456" t="s">
        <v>512</v>
      </c>
      <c r="C27" s="3054">
        <f>ROUND(F27/(1+'数据-取费表'!C42),4)</f>
        <v>5.33E-2</v>
      </c>
      <c r="D27" s="459" t="s">
        <v>2839</v>
      </c>
      <c r="E27" s="459"/>
      <c r="F27" s="463">
        <f>'数据-取费表'!B41</f>
        <v>5.6000000000000001E-2</v>
      </c>
      <c r="G27" s="1958" t="s">
        <v>2295</v>
      </c>
      <c r="H27" s="444"/>
      <c r="I27" s="444"/>
      <c r="J27" s="444"/>
      <c r="K27" s="445"/>
    </row>
    <row r="28" spans="1:14" s="2119" customFormat="1" ht="13.5" customHeight="1">
      <c r="A28" s="1634" t="s">
        <v>1870</v>
      </c>
      <c r="B28" s="473" t="s">
        <v>513</v>
      </c>
      <c r="C28" s="467">
        <f ca="1">ROUND((C18+C19+C21+C24)/(1-C20-D21-D24-C27),0)</f>
        <v>62264</v>
      </c>
      <c r="D28" s="474"/>
      <c r="E28" s="466"/>
      <c r="F28" s="468"/>
      <c r="G28" s="1323" t="s">
        <v>2439</v>
      </c>
      <c r="H28" s="444"/>
      <c r="I28" s="444"/>
      <c r="J28" s="444"/>
      <c r="K28" s="445"/>
    </row>
    <row r="29" spans="1:14" s="2119" customFormat="1" ht="13.5" customHeight="1">
      <c r="A29" s="1634" t="s">
        <v>1871</v>
      </c>
      <c r="B29" s="473" t="s">
        <v>514</v>
      </c>
      <c r="C29" s="489">
        <f ca="1">IF(B1="",'数据-取费表'!N16,INDIRECT("'数据-取费表'!N"&amp;$K$1))</f>
        <v>0</v>
      </c>
      <c r="D29" s="490"/>
      <c r="E29" s="491"/>
      <c r="F29" s="492"/>
      <c r="G29" s="441"/>
      <c r="H29" s="444"/>
      <c r="I29" s="444"/>
      <c r="J29" s="444"/>
      <c r="K29" s="445"/>
    </row>
    <row r="30" spans="1:14" s="2119" customFormat="1" ht="13.5" customHeight="1">
      <c r="A30" s="440">
        <v>2</v>
      </c>
      <c r="B30" s="473" t="s">
        <v>515</v>
      </c>
      <c r="C30" s="494">
        <f ca="1">ROUND(C28*C29,0)</f>
        <v>0</v>
      </c>
      <c r="D30" s="490"/>
      <c r="E30" s="495"/>
      <c r="F30" s="496"/>
      <c r="G30" s="1325" t="s">
        <v>516</v>
      </c>
      <c r="H30" s="493"/>
      <c r="I30" s="493"/>
      <c r="J30" s="444"/>
      <c r="K30" s="445"/>
    </row>
    <row r="31" spans="1:14" s="2124" customFormat="1" ht="13.5" customHeight="1">
      <c r="A31" s="2504" t="s">
        <v>1867</v>
      </c>
      <c r="B31" s="1326"/>
      <c r="C31" s="497">
        <f>ROUND(C6*F31/(1+'数据-取费表'!C42),0)</f>
        <v>0</v>
      </c>
      <c r="D31" s="1327"/>
      <c r="E31" s="1327"/>
      <c r="F31" s="498">
        <f>'数据-取费表'!B41</f>
        <v>5.6000000000000001E-2</v>
      </c>
      <c r="G31" s="1328"/>
      <c r="H31" s="1328"/>
      <c r="I31" s="1328"/>
      <c r="J31" s="1329"/>
      <c r="K31" s="1330"/>
    </row>
    <row r="32" spans="1:14" s="2083" customFormat="1" ht="13.5" customHeight="1" thickBot="1">
      <c r="A32" s="479" t="s">
        <v>1868</v>
      </c>
      <c r="B32" s="480"/>
      <c r="C32" s="481">
        <f ca="1">IF('数据-取费表'!B20&lt;=1,(C6-C30-C31)/(1+F21*'数据-取费表'!B20+F24)/(1+'数据-取费表'!B48+'数据-取费表'!B49),(C6-C30-C31)/(1+(POWER((1+F21),'数据-取费表'!B20)-1)+F24)/(1+'数据-取费表'!B48+'数据-取费表'!B49))</f>
        <v>0</v>
      </c>
      <c r="D32" s="480"/>
      <c r="E32" s="480"/>
      <c r="F32" s="480"/>
      <c r="G32" s="2505" t="s">
        <v>2460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517</v>
      </c>
      <c r="B1" s="500"/>
      <c r="C1" s="501" t="s">
        <v>598</v>
      </c>
      <c r="D1" s="502" t="s">
        <v>519</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505"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1687</v>
      </c>
      <c r="B3" s="507"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5"/>
      <c r="AC3" s="425"/>
    </row>
    <row r="4" spans="1:29" s="1332" customFormat="1" ht="28.5" customHeight="1">
      <c r="A4" s="508" t="s">
        <v>521</v>
      </c>
      <c r="B4" s="424"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5"/>
    </row>
    <row r="5" spans="1:29" s="1332" customFormat="1" ht="28.5" customHeight="1" thickBot="1">
      <c r="A5" s="426"/>
      <c r="B5" s="427" t="e">
        <f>ROUND(B2/('数据-汇总表'!D3/666.67),0)</f>
        <v>#DIV/0!</v>
      </c>
      <c r="C5" s="428"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5"/>
    </row>
    <row r="6" spans="1:29" ht="15">
      <c r="A6" s="509" t="s">
        <v>522</v>
      </c>
      <c r="B6" s="510"/>
      <c r="C6" s="3390" t="s">
        <v>523</v>
      </c>
      <c r="D6" s="3391"/>
      <c r="E6" s="3415" t="s">
        <v>524</v>
      </c>
      <c r="F6" s="3416"/>
      <c r="G6" s="3390" t="s">
        <v>525</v>
      </c>
      <c r="H6" s="3391"/>
      <c r="I6" s="3390" t="s">
        <v>526</v>
      </c>
      <c r="J6" s="3391"/>
      <c r="K6" s="511" t="s">
        <v>527</v>
      </c>
      <c r="L6" s="2131"/>
      <c r="M6" s="2132"/>
      <c r="N6" s="2132"/>
      <c r="O6" s="2132"/>
      <c r="P6" s="3392" t="s">
        <v>528</v>
      </c>
      <c r="Q6" s="3393"/>
      <c r="R6" s="3378" t="s">
        <v>524</v>
      </c>
      <c r="S6" s="3379"/>
      <c r="T6" s="3378" t="s">
        <v>525</v>
      </c>
      <c r="U6" s="3379"/>
      <c r="V6" s="3398" t="s">
        <v>526</v>
      </c>
      <c r="W6" s="3398"/>
      <c r="X6" s="1564"/>
      <c r="Y6" s="3378" t="s">
        <v>528</v>
      </c>
      <c r="Z6" s="3379"/>
      <c r="AA6" s="3373" t="s">
        <v>524</v>
      </c>
      <c r="AB6" s="3374" t="s">
        <v>525</v>
      </c>
      <c r="AC6" s="3373" t="s">
        <v>526</v>
      </c>
    </row>
    <row r="7" spans="1:29" ht="15">
      <c r="A7" s="512"/>
      <c r="B7" s="513"/>
      <c r="C7" s="3401" t="s">
        <v>2940</v>
      </c>
      <c r="D7" s="3402"/>
      <c r="E7" s="3417" t="s">
        <v>2941</v>
      </c>
      <c r="F7" s="3418"/>
      <c r="G7" s="3401" t="s">
        <v>2942</v>
      </c>
      <c r="H7" s="3402"/>
      <c r="I7" s="3401" t="s">
        <v>2943</v>
      </c>
      <c r="J7" s="3402"/>
      <c r="K7" s="511"/>
      <c r="L7" s="2131"/>
      <c r="M7" s="2132"/>
      <c r="N7" s="2132"/>
      <c r="O7" s="2132"/>
      <c r="P7" s="3394"/>
      <c r="Q7" s="3395"/>
      <c r="R7" s="3380"/>
      <c r="S7" s="3381"/>
      <c r="T7" s="3380"/>
      <c r="U7" s="3381"/>
      <c r="V7" s="3398"/>
      <c r="W7" s="3398"/>
      <c r="X7" s="1564"/>
      <c r="Y7" s="3380"/>
      <c r="Z7" s="3381"/>
      <c r="AA7" s="3374"/>
      <c r="AB7" s="3374"/>
      <c r="AC7" s="3374"/>
    </row>
    <row r="8" spans="1:29" ht="15.75" thickBot="1">
      <c r="A8" s="514"/>
      <c r="B8" s="515"/>
      <c r="C8" s="3419" t="s">
        <v>2944</v>
      </c>
      <c r="D8" s="3400"/>
      <c r="E8" s="3420" t="s">
        <v>2944</v>
      </c>
      <c r="F8" s="3421"/>
      <c r="G8" s="3419" t="s">
        <v>2944</v>
      </c>
      <c r="H8" s="3400"/>
      <c r="I8" s="3419" t="s">
        <v>2944</v>
      </c>
      <c r="J8" s="3400"/>
      <c r="K8" s="511" t="s">
        <v>529</v>
      </c>
      <c r="L8" s="2131"/>
      <c r="M8" s="2132"/>
      <c r="N8" s="2132"/>
      <c r="O8" s="2132"/>
      <c r="P8" s="3396"/>
      <c r="Q8" s="3397"/>
      <c r="R8" s="3380"/>
      <c r="S8" s="3381"/>
      <c r="T8" s="3382"/>
      <c r="U8" s="3383"/>
      <c r="V8" s="3398"/>
      <c r="W8" s="3398"/>
      <c r="X8" s="1564"/>
      <c r="Y8" s="3382"/>
      <c r="Z8" s="3383"/>
      <c r="AA8" s="3375"/>
      <c r="AB8" s="3375"/>
      <c r="AC8" s="3375"/>
    </row>
    <row r="9" spans="1:29" s="1216" customFormat="1" ht="15.75" thickBot="1">
      <c r="A9" s="2935"/>
      <c r="B9" s="2942" t="s">
        <v>530</v>
      </c>
      <c r="C9" s="516">
        <f>'数据-取费表'!B2</f>
        <v>43123</v>
      </c>
      <c r="D9" s="517">
        <v>100</v>
      </c>
      <c r="E9" s="518"/>
      <c r="F9" s="519">
        <f>SUMIF(67:67,YEAR(E9)&amp;"-"&amp;INT((MONTH(E9)+2)/3),68:68)</f>
        <v>0</v>
      </c>
      <c r="G9" s="520"/>
      <c r="H9" s="517">
        <f>SUMIF(67:67,YEAR(G9)&amp;"-"&amp;INT((MONTH(G9)+2)/3),68:68)</f>
        <v>0</v>
      </c>
      <c r="I9" s="520"/>
      <c r="J9" s="517">
        <f>SUMIF(67:67,YEAR(I9)&amp;"-"&amp;INT((MONTH(I9)+2)/3),68:68)</f>
        <v>0</v>
      </c>
      <c r="K9" s="521"/>
      <c r="L9" s="2133"/>
      <c r="M9" s="2134"/>
      <c r="N9" s="2134"/>
      <c r="O9" s="2134"/>
      <c r="P9" s="3376" t="s">
        <v>531</v>
      </c>
      <c r="Q9" s="3385"/>
      <c r="R9" s="1565" t="s">
        <v>8</v>
      </c>
      <c r="S9" s="1566">
        <f t="shared" ref="S9:S17" si="0">F9</f>
        <v>0</v>
      </c>
      <c r="T9" s="1565" t="s">
        <v>8</v>
      </c>
      <c r="U9" s="1566">
        <f t="shared" ref="U9:U17" si="1">H9</f>
        <v>0</v>
      </c>
      <c r="V9" s="1565" t="s">
        <v>8</v>
      </c>
      <c r="W9" s="1566">
        <f t="shared" ref="W9:W17" si="2">J9</f>
        <v>0</v>
      </c>
      <c r="X9" s="1567"/>
      <c r="Y9" s="3376" t="s">
        <v>531</v>
      </c>
      <c r="Z9" s="3377"/>
      <c r="AA9" s="1568" t="e">
        <f>D9/F9</f>
        <v>#DIV/0!</v>
      </c>
      <c r="AB9" s="1568" t="e">
        <f>D9/H9</f>
        <v>#DIV/0!</v>
      </c>
      <c r="AC9" s="1568" t="e">
        <f>D9/J9</f>
        <v>#DIV/0!</v>
      </c>
    </row>
    <row r="10" spans="1:29" s="1216" customFormat="1" ht="15.75" thickBot="1">
      <c r="A10" s="2936"/>
      <c r="B10" s="2943" t="s">
        <v>532</v>
      </c>
      <c r="C10" s="522" t="s">
        <v>533</v>
      </c>
      <c r="D10" s="517">
        <v>100</v>
      </c>
      <c r="E10" s="522"/>
      <c r="F10" s="519">
        <f>SUMIF(70:70,E10,71:71)-SUMIF(70:70,C10,71:71)+100</f>
        <v>0</v>
      </c>
      <c r="G10" s="522"/>
      <c r="H10" s="517">
        <f>SUMIF(70:70,G10,71:71)-SUMIF(70:70,C10,71:71)+100</f>
        <v>0</v>
      </c>
      <c r="I10" s="522"/>
      <c r="J10" s="517">
        <f>SUMIF(70:70,I10,71:71)-SUMIF(70:70,C10,71:71)+100</f>
        <v>0</v>
      </c>
      <c r="K10" s="521"/>
      <c r="L10" s="2133"/>
      <c r="M10" s="2134"/>
      <c r="N10" s="2134"/>
      <c r="O10" s="2134"/>
      <c r="P10" s="3376" t="s">
        <v>534</v>
      </c>
      <c r="Q10" s="3377"/>
      <c r="R10" s="1565" t="s">
        <v>8</v>
      </c>
      <c r="S10" s="1566">
        <f t="shared" si="0"/>
        <v>0</v>
      </c>
      <c r="T10" s="1565" t="s">
        <v>8</v>
      </c>
      <c r="U10" s="1566">
        <f t="shared" si="1"/>
        <v>0</v>
      </c>
      <c r="V10" s="1565" t="s">
        <v>8</v>
      </c>
      <c r="W10" s="1566">
        <f t="shared" si="2"/>
        <v>0</v>
      </c>
      <c r="X10" s="1567"/>
      <c r="Y10" s="3376" t="s">
        <v>534</v>
      </c>
      <c r="Z10" s="3377"/>
      <c r="AA10" s="1568" t="e">
        <f t="shared" ref="AA10:AA42" si="3">D10/F10</f>
        <v>#DIV/0!</v>
      </c>
      <c r="AB10" s="1568" t="e">
        <f t="shared" ref="AB10:AB42" si="4">D10/H10</f>
        <v>#DIV/0!</v>
      </c>
      <c r="AC10" s="1568" t="e">
        <f t="shared" ref="AC10:AC42" si="5">D10/J10</f>
        <v>#DIV/0!</v>
      </c>
    </row>
    <row r="11" spans="1:29" s="1216" customFormat="1" ht="15">
      <c r="A11" s="2937"/>
      <c r="B11" s="2944" t="s">
        <v>2765</v>
      </c>
      <c r="C11" s="523"/>
      <c r="D11" s="253">
        <v>100</v>
      </c>
      <c r="E11" s="523"/>
      <c r="F11" s="253">
        <f>SUMIF(72:72,E11,73:73)-SUMIF(72:72,C11,73:73)+100</f>
        <v>100</v>
      </c>
      <c r="G11" s="523"/>
      <c r="H11" s="253">
        <f>SUMIF(72:72,G11,73:73)-SUMIF(72:72,C11,73:73)+100</f>
        <v>100</v>
      </c>
      <c r="I11" s="523"/>
      <c r="J11" s="253">
        <f>SUMIF(72:72,I11,73:73)-SUMIF(72:72,C11,73:73)+100</f>
        <v>100</v>
      </c>
      <c r="K11" s="521"/>
      <c r="L11" s="2133"/>
      <c r="M11" s="2134"/>
      <c r="N11" s="2134"/>
      <c r="O11" s="2135"/>
      <c r="P11" s="3384" t="s">
        <v>536</v>
      </c>
      <c r="Q11" s="1147" t="str">
        <f t="shared" ref="Q11:Q17" si="6">B11</f>
        <v>用途</v>
      </c>
      <c r="R11" s="1565" t="s">
        <v>8</v>
      </c>
      <c r="S11" s="1566">
        <f t="shared" si="0"/>
        <v>100</v>
      </c>
      <c r="T11" s="1565" t="s">
        <v>8</v>
      </c>
      <c r="U11" s="1566">
        <f t="shared" si="1"/>
        <v>100</v>
      </c>
      <c r="V11" s="1565" t="s">
        <v>8</v>
      </c>
      <c r="W11" s="1566">
        <f t="shared" si="2"/>
        <v>100</v>
      </c>
      <c r="X11" s="1567"/>
      <c r="Y11" s="3341" t="s">
        <v>537</v>
      </c>
      <c r="Z11" s="1146" t="str">
        <f t="shared" ref="Z11:Z17" si="7">Q11</f>
        <v>用途</v>
      </c>
      <c r="AA11" s="1568">
        <f t="shared" si="3"/>
        <v>1</v>
      </c>
      <c r="AB11" s="1568">
        <f t="shared" si="4"/>
        <v>1</v>
      </c>
      <c r="AC11" s="1568">
        <f t="shared" si="5"/>
        <v>1</v>
      </c>
    </row>
    <row r="12" spans="1:29" s="1334" customFormat="1" ht="27">
      <c r="A12" s="2938"/>
      <c r="B12" s="2943" t="s">
        <v>2766</v>
      </c>
      <c r="C12" s="525"/>
      <c r="D12" s="254">
        <v>100</v>
      </c>
      <c r="E12" s="525"/>
      <c r="F12" s="254">
        <f>ROUND(100/'数据-取费表'!G16,0)</f>
        <v>100</v>
      </c>
      <c r="G12" s="525"/>
      <c r="H12" s="254">
        <f>ROUND(100/'数据-取费表'!G16,0)</f>
        <v>100</v>
      </c>
      <c r="I12" s="525"/>
      <c r="J12" s="254">
        <f>ROUND(100/'数据-取费表'!G16,0)</f>
        <v>100</v>
      </c>
      <c r="K12" s="528"/>
      <c r="L12" s="2136"/>
      <c r="M12" s="2176"/>
      <c r="N12" s="2176"/>
      <c r="O12" s="2137"/>
      <c r="P12" s="3384"/>
      <c r="Q12" s="1147" t="str">
        <f t="shared" si="6"/>
        <v>土地使用年限（年）</v>
      </c>
      <c r="R12" s="1565" t="s">
        <v>8</v>
      </c>
      <c r="S12" s="1566">
        <f t="shared" si="0"/>
        <v>100</v>
      </c>
      <c r="T12" s="1565" t="s">
        <v>8</v>
      </c>
      <c r="U12" s="1566">
        <f t="shared" si="1"/>
        <v>100</v>
      </c>
      <c r="V12" s="1565" t="s">
        <v>8</v>
      </c>
      <c r="W12" s="1566">
        <f t="shared" si="2"/>
        <v>100</v>
      </c>
      <c r="X12" s="1567"/>
      <c r="Y12" s="3341"/>
      <c r="Z12" s="1146" t="str">
        <f t="shared" si="7"/>
        <v>土地使用年限（年）</v>
      </c>
      <c r="AA12" s="1568">
        <f t="shared" si="3"/>
        <v>1</v>
      </c>
      <c r="AB12" s="1568">
        <f t="shared" si="4"/>
        <v>1</v>
      </c>
      <c r="AC12" s="1568">
        <f t="shared" si="5"/>
        <v>1</v>
      </c>
    </row>
    <row r="13" spans="1:29" ht="15">
      <c r="A13" s="2939"/>
      <c r="B13" s="2943" t="s">
        <v>2767</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38"/>
      <c r="M13" s="2132"/>
      <c r="N13" s="2132"/>
      <c r="O13" s="2139"/>
      <c r="P13" s="3384"/>
      <c r="Q13" s="1147" t="str">
        <f t="shared" si="6"/>
        <v>容积率</v>
      </c>
      <c r="R13" s="1565" t="s">
        <v>8</v>
      </c>
      <c r="S13" s="1566" t="e">
        <f t="shared" si="0"/>
        <v>#N/A</v>
      </c>
      <c r="T13" s="1565" t="s">
        <v>8</v>
      </c>
      <c r="U13" s="1566" t="e">
        <f t="shared" si="1"/>
        <v>#N/A</v>
      </c>
      <c r="V13" s="1565" t="s">
        <v>8</v>
      </c>
      <c r="W13" s="1566" t="e">
        <f t="shared" si="2"/>
        <v>#N/A</v>
      </c>
      <c r="X13" s="1567"/>
      <c r="Y13" s="3341"/>
      <c r="Z13" s="1146" t="str">
        <f t="shared" si="7"/>
        <v>容积率</v>
      </c>
      <c r="AA13" s="1568" t="e">
        <f t="shared" si="3"/>
        <v>#N/A</v>
      </c>
      <c r="AB13" s="1568" t="e">
        <f t="shared" si="4"/>
        <v>#N/A</v>
      </c>
      <c r="AC13" s="1568" t="e">
        <f t="shared" si="5"/>
        <v>#N/A</v>
      </c>
    </row>
    <row r="14" spans="1:29" s="1216" customFormat="1" ht="15">
      <c r="A14" s="2940"/>
      <c r="B14" s="2946">
        <v>111</v>
      </c>
      <c r="C14" s="525"/>
      <c r="D14" s="535">
        <v>100</v>
      </c>
      <c r="E14" s="538"/>
      <c r="F14" s="254">
        <f>SUMIF(79:79,E14,80:80)-SUMIF(79:79,C14,80:80)+100</f>
        <v>100</v>
      </c>
      <c r="G14" s="539"/>
      <c r="H14" s="254">
        <f>SUMIF(79:79,G14,80:80)-SUMIF(79:79,C14,80:80)+100</f>
        <v>100</v>
      </c>
      <c r="I14" s="538"/>
      <c r="J14" s="254">
        <f>SUMIF(79:79,I14,80:80)-SUMIF(79:79,C14,80:80)+100</f>
        <v>100</v>
      </c>
      <c r="K14" s="528"/>
      <c r="L14" s="2133"/>
      <c r="M14" s="2134"/>
      <c r="N14" s="2134"/>
      <c r="O14" s="2135"/>
      <c r="P14" s="3384"/>
      <c r="Q14" s="1147">
        <f t="shared" si="6"/>
        <v>111</v>
      </c>
      <c r="R14" s="1565" t="s">
        <v>8</v>
      </c>
      <c r="S14" s="1566">
        <f t="shared" si="0"/>
        <v>100</v>
      </c>
      <c r="T14" s="1565" t="s">
        <v>8</v>
      </c>
      <c r="U14" s="1566">
        <f t="shared" si="1"/>
        <v>100</v>
      </c>
      <c r="V14" s="1565" t="s">
        <v>8</v>
      </c>
      <c r="W14" s="1566">
        <f t="shared" si="2"/>
        <v>100</v>
      </c>
      <c r="X14" s="1567"/>
      <c r="Y14" s="3341"/>
      <c r="Z14" s="1146">
        <f t="shared" si="7"/>
        <v>111</v>
      </c>
      <c r="AA14" s="1568">
        <f>D14/F14</f>
        <v>1</v>
      </c>
      <c r="AB14" s="1568">
        <f>D14/H14</f>
        <v>1</v>
      </c>
      <c r="AC14" s="1568">
        <f>D14/J14</f>
        <v>1</v>
      </c>
    </row>
    <row r="15" spans="1:29" ht="15">
      <c r="A15" s="2940"/>
      <c r="B15" s="2946">
        <v>111</v>
      </c>
      <c r="C15" s="536"/>
      <c r="D15" s="537">
        <v>100</v>
      </c>
      <c r="E15" s="538"/>
      <c r="F15" s="254">
        <f>SUMIF(81:81,E15,82:82)-SUMIF(81:81,C15,82:82)+100</f>
        <v>100</v>
      </c>
      <c r="G15" s="539"/>
      <c r="H15" s="537">
        <f>SUMIF(81:81,G15,82:82)-SUMIF(81:81,C15,82:82)+100</f>
        <v>100</v>
      </c>
      <c r="I15" s="538"/>
      <c r="J15" s="537">
        <f>SUMIF(81:81,I15,82:82)-SUMIF(81:81,C15,82:82)+100</f>
        <v>100</v>
      </c>
      <c r="K15" s="528"/>
      <c r="L15" s="2140"/>
      <c r="M15" s="2132"/>
      <c r="N15" s="2132"/>
      <c r="O15" s="2139"/>
      <c r="P15" s="3384"/>
      <c r="Q15" s="1147">
        <f t="shared" si="6"/>
        <v>111</v>
      </c>
      <c r="R15" s="1565" t="s">
        <v>8</v>
      </c>
      <c r="S15" s="1566">
        <f t="shared" si="0"/>
        <v>100</v>
      </c>
      <c r="T15" s="1565" t="s">
        <v>8</v>
      </c>
      <c r="U15" s="1566">
        <f t="shared" si="1"/>
        <v>100</v>
      </c>
      <c r="V15" s="1565" t="s">
        <v>8</v>
      </c>
      <c r="W15" s="1566">
        <f t="shared" si="2"/>
        <v>100</v>
      </c>
      <c r="X15" s="1567"/>
      <c r="Y15" s="3341"/>
      <c r="Z15" s="1146">
        <f t="shared" si="7"/>
        <v>111</v>
      </c>
      <c r="AA15" s="1568">
        <f t="shared" si="3"/>
        <v>1</v>
      </c>
      <c r="AB15" s="1568">
        <f t="shared" si="4"/>
        <v>1</v>
      </c>
      <c r="AC15" s="1568">
        <f t="shared" si="5"/>
        <v>1</v>
      </c>
    </row>
    <row r="16" spans="1:29" ht="15.75" thickBot="1">
      <c r="A16" s="2941"/>
      <c r="B16" s="2947">
        <v>111</v>
      </c>
      <c r="C16" s="542"/>
      <c r="D16" s="543">
        <v>100</v>
      </c>
      <c r="E16" s="538"/>
      <c r="F16" s="543">
        <f>SUMIF(83:83,E16,84:84)-SUMIF(83:83,C16,84:84)+100</f>
        <v>100</v>
      </c>
      <c r="G16" s="539"/>
      <c r="H16" s="543">
        <f>SUMIF(83:83,G16,84:84)-SUMIF(83:83,C16,84:84)+100</f>
        <v>100</v>
      </c>
      <c r="I16" s="538"/>
      <c r="J16" s="543">
        <f>SUMIF(83:83,I16,84:84)-SUMIF(83:83,C16,84:84)+100</f>
        <v>100</v>
      </c>
      <c r="K16" s="528"/>
      <c r="L16" s="2140"/>
      <c r="M16" s="2132"/>
      <c r="N16" s="2132"/>
      <c r="O16" s="2139"/>
      <c r="P16" s="3384"/>
      <c r="Q16" s="1147">
        <f t="shared" si="6"/>
        <v>111</v>
      </c>
      <c r="R16" s="1565" t="s">
        <v>8</v>
      </c>
      <c r="S16" s="1566">
        <f t="shared" si="0"/>
        <v>100</v>
      </c>
      <c r="T16" s="1565" t="s">
        <v>8</v>
      </c>
      <c r="U16" s="1566">
        <f t="shared" si="1"/>
        <v>100</v>
      </c>
      <c r="V16" s="1565" t="s">
        <v>8</v>
      </c>
      <c r="W16" s="1566">
        <f t="shared" si="2"/>
        <v>100</v>
      </c>
      <c r="X16" s="1567"/>
      <c r="Y16" s="3341"/>
      <c r="Z16" s="1146">
        <f t="shared" si="7"/>
        <v>111</v>
      </c>
      <c r="AA16" s="1568">
        <f t="shared" si="3"/>
        <v>1</v>
      </c>
      <c r="AB16" s="1568">
        <f t="shared" si="4"/>
        <v>1</v>
      </c>
      <c r="AC16" s="1568">
        <f t="shared" si="5"/>
        <v>1</v>
      </c>
    </row>
    <row r="17" spans="1:29" ht="57">
      <c r="A17" s="2933" t="s">
        <v>2763</v>
      </c>
      <c r="B17" s="166" t="s">
        <v>599</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0"/>
      <c r="M17" s="2132"/>
      <c r="N17" s="2132"/>
      <c r="O17" s="2139"/>
      <c r="P17" s="3386" t="s">
        <v>541</v>
      </c>
      <c r="Q17" s="1569" t="str">
        <f t="shared" si="6"/>
        <v>产业集聚程度</v>
      </c>
      <c r="R17" s="1570" t="s">
        <v>8</v>
      </c>
      <c r="S17" s="1571">
        <f t="shared" si="0"/>
        <v>100</v>
      </c>
      <c r="T17" s="1570" t="s">
        <v>8</v>
      </c>
      <c r="U17" s="1571">
        <f t="shared" si="1"/>
        <v>100</v>
      </c>
      <c r="V17" s="1570" t="s">
        <v>8</v>
      </c>
      <c r="W17" s="1571">
        <f t="shared" si="2"/>
        <v>100</v>
      </c>
      <c r="X17" s="1564"/>
      <c r="Y17" s="3386" t="s">
        <v>541</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40"/>
      <c r="M18" s="2132"/>
      <c r="N18" s="2132"/>
      <c r="O18" s="2139"/>
      <c r="P18" s="3387"/>
      <c r="Q18" s="1569"/>
      <c r="R18" s="1570"/>
      <c r="S18" s="1571"/>
      <c r="T18" s="1570"/>
      <c r="U18" s="1571"/>
      <c r="V18" s="1570"/>
      <c r="W18" s="1571"/>
      <c r="X18" s="1564"/>
      <c r="Y18" s="3387"/>
      <c r="Z18" s="1572"/>
      <c r="AA18" s="1573">
        <v>1</v>
      </c>
      <c r="AB18" s="1573">
        <v>1</v>
      </c>
      <c r="AC18" s="1573">
        <v>1</v>
      </c>
    </row>
    <row r="19" spans="1:29" ht="85.5">
      <c r="A19" s="529"/>
      <c r="B19" s="868" t="s">
        <v>544</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0"/>
      <c r="M19" s="2132"/>
      <c r="N19" s="2132"/>
      <c r="O19" s="2139"/>
      <c r="P19" s="3387"/>
      <c r="Q19" s="1569" t="str">
        <f>B19</f>
        <v>交通便捷度</v>
      </c>
      <c r="R19" s="1570" t="s">
        <v>8</v>
      </c>
      <c r="S19" s="1571">
        <f>F19</f>
        <v>100</v>
      </c>
      <c r="T19" s="1570" t="s">
        <v>8</v>
      </c>
      <c r="U19" s="1571">
        <f>H19</f>
        <v>100</v>
      </c>
      <c r="V19" s="1570" t="s">
        <v>8</v>
      </c>
      <c r="W19" s="1571">
        <f>J19</f>
        <v>100</v>
      </c>
      <c r="X19" s="1564"/>
      <c r="Y19" s="3387"/>
      <c r="Z19" s="1572" t="str">
        <f>Q19</f>
        <v>交通便捷度</v>
      </c>
      <c r="AA19" s="1573">
        <f t="shared" si="3"/>
        <v>1</v>
      </c>
      <c r="AB19" s="1573">
        <f t="shared" si="4"/>
        <v>1</v>
      </c>
      <c r="AC19" s="1573">
        <f t="shared" si="5"/>
        <v>1</v>
      </c>
    </row>
    <row r="20" spans="1:29" ht="15">
      <c r="A20" s="529"/>
      <c r="B20" s="918"/>
      <c r="C20" s="573"/>
      <c r="D20" s="552"/>
      <c r="E20" s="553"/>
      <c r="F20" s="552"/>
      <c r="G20" s="553"/>
      <c r="H20" s="552"/>
      <c r="I20" s="555"/>
      <c r="J20" s="552"/>
      <c r="K20" s="528"/>
      <c r="L20" s="2140"/>
      <c r="M20" s="2132"/>
      <c r="N20" s="2132"/>
      <c r="O20" s="2139"/>
      <c r="P20" s="3387"/>
      <c r="Q20" s="1569"/>
      <c r="R20" s="1570"/>
      <c r="S20" s="1571"/>
      <c r="T20" s="1570"/>
      <c r="U20" s="1571"/>
      <c r="V20" s="1570"/>
      <c r="W20" s="1571"/>
      <c r="X20" s="1564"/>
      <c r="Y20" s="3387"/>
      <c r="Z20" s="1572"/>
      <c r="AA20" s="1573">
        <v>1</v>
      </c>
      <c r="AB20" s="1573">
        <v>1</v>
      </c>
      <c r="AC20" s="1573">
        <v>1</v>
      </c>
    </row>
    <row r="21" spans="1:29" ht="27">
      <c r="A21" s="512"/>
      <c r="B21" s="868" t="s">
        <v>545</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4"/>
      <c r="L21" s="2140"/>
      <c r="M21" s="2132"/>
      <c r="N21" s="2132"/>
      <c r="O21" s="2139"/>
      <c r="P21" s="3387"/>
      <c r="Q21" s="1569" t="str">
        <f t="shared" ref="Q21:Q35" si="8">B21</f>
        <v>区域土地利用方向</v>
      </c>
      <c r="R21" s="1570" t="s">
        <v>8</v>
      </c>
      <c r="S21" s="1571">
        <f>F21</f>
        <v>100</v>
      </c>
      <c r="T21" s="1570" t="s">
        <v>8</v>
      </c>
      <c r="U21" s="1571">
        <f>H21</f>
        <v>100</v>
      </c>
      <c r="V21" s="1570" t="s">
        <v>8</v>
      </c>
      <c r="W21" s="1571">
        <f>J21</f>
        <v>100</v>
      </c>
      <c r="X21" s="1564"/>
      <c r="Y21" s="3387"/>
      <c r="Z21" s="1572" t="str">
        <f>Q21</f>
        <v>区域土地利用方向</v>
      </c>
      <c r="AA21" s="1573">
        <f t="shared" si="3"/>
        <v>1</v>
      </c>
      <c r="AB21" s="1573">
        <f t="shared" si="4"/>
        <v>1</v>
      </c>
      <c r="AC21" s="1573">
        <f t="shared" si="5"/>
        <v>1</v>
      </c>
    </row>
    <row r="22" spans="1:29" ht="15">
      <c r="A22" s="512"/>
      <c r="B22" s="592"/>
      <c r="C22" s="573"/>
      <c r="D22" s="552"/>
      <c r="E22" s="553"/>
      <c r="F22" s="554"/>
      <c r="G22" s="555"/>
      <c r="H22" s="554"/>
      <c r="I22" s="555"/>
      <c r="J22" s="554"/>
      <c r="K22" s="1344"/>
      <c r="L22" s="2140"/>
      <c r="M22" s="2132"/>
      <c r="N22" s="2132"/>
      <c r="O22" s="2139"/>
      <c r="P22" s="3387"/>
      <c r="Q22" s="1569"/>
      <c r="R22" s="1570"/>
      <c r="S22" s="1571"/>
      <c r="T22" s="1570"/>
      <c r="U22" s="1571"/>
      <c r="V22" s="1570"/>
      <c r="W22" s="1571"/>
      <c r="X22" s="1564"/>
      <c r="Y22" s="3387"/>
      <c r="Z22" s="1572"/>
      <c r="AA22" s="1573"/>
      <c r="AB22" s="1573"/>
      <c r="AC22" s="1573"/>
    </row>
    <row r="23" spans="1:29" ht="71.25">
      <c r="A23" s="512"/>
      <c r="B23" s="918" t="s">
        <v>600</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0"/>
      <c r="M23" s="2132"/>
      <c r="N23" s="2132"/>
      <c r="O23" s="2139"/>
      <c r="P23" s="3387"/>
      <c r="Q23" s="1569" t="str">
        <f t="shared" si="8"/>
        <v>环境状况</v>
      </c>
      <c r="R23" s="1570" t="s">
        <v>8</v>
      </c>
      <c r="S23" s="1571">
        <f>F23</f>
        <v>100</v>
      </c>
      <c r="T23" s="1570" t="s">
        <v>8</v>
      </c>
      <c r="U23" s="1571">
        <f>H23</f>
        <v>100</v>
      </c>
      <c r="V23" s="1570" t="s">
        <v>8</v>
      </c>
      <c r="W23" s="1571">
        <f>J23</f>
        <v>100</v>
      </c>
      <c r="X23" s="1564"/>
      <c r="Y23" s="3387"/>
      <c r="Z23" s="1572" t="str">
        <f>Q23</f>
        <v>环境状况</v>
      </c>
      <c r="AA23" s="1573">
        <f t="shared" si="3"/>
        <v>1</v>
      </c>
      <c r="AB23" s="1573">
        <f t="shared" si="4"/>
        <v>1</v>
      </c>
      <c r="AC23" s="1573">
        <f t="shared" si="5"/>
        <v>1</v>
      </c>
    </row>
    <row r="24" spans="1:29" ht="15">
      <c r="A24" s="512"/>
      <c r="B24" s="592"/>
      <c r="C24" s="573"/>
      <c r="D24" s="552"/>
      <c r="E24" s="551"/>
      <c r="F24" s="552"/>
      <c r="G24" s="551"/>
      <c r="H24" s="552"/>
      <c r="I24" s="573"/>
      <c r="J24" s="552"/>
      <c r="K24" s="528"/>
      <c r="L24" s="2140"/>
      <c r="M24" s="2132"/>
      <c r="N24" s="2132"/>
      <c r="O24" s="2139"/>
      <c r="P24" s="3387"/>
      <c r="Q24" s="1569"/>
      <c r="R24" s="1570"/>
      <c r="S24" s="1571"/>
      <c r="T24" s="1570"/>
      <c r="U24" s="1571"/>
      <c r="V24" s="1570"/>
      <c r="W24" s="1571"/>
      <c r="X24" s="1564"/>
      <c r="Y24" s="3387"/>
      <c r="Z24" s="1572"/>
      <c r="AA24" s="1573">
        <v>1</v>
      </c>
      <c r="AB24" s="1573">
        <v>1</v>
      </c>
      <c r="AC24" s="1573">
        <v>1</v>
      </c>
    </row>
    <row r="25" spans="1:29" s="1216" customFormat="1" ht="42.75">
      <c r="A25" s="574"/>
      <c r="B25" s="2615" t="s">
        <v>2555</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3"/>
      <c r="M25" s="2134"/>
      <c r="N25" s="2134"/>
      <c r="O25" s="2135"/>
      <c r="P25" s="3387"/>
      <c r="Q25" s="1147" t="str">
        <f t="shared" si="8"/>
        <v>公共配套设施</v>
      </c>
      <c r="R25" s="1565" t="s">
        <v>8</v>
      </c>
      <c r="S25" s="1566">
        <f>F25</f>
        <v>100</v>
      </c>
      <c r="T25" s="1565" t="s">
        <v>8</v>
      </c>
      <c r="U25" s="1566">
        <f>H25</f>
        <v>100</v>
      </c>
      <c r="V25" s="1565" t="s">
        <v>8</v>
      </c>
      <c r="W25" s="1566">
        <f>J25</f>
        <v>100</v>
      </c>
      <c r="X25" s="1567"/>
      <c r="Y25" s="3387"/>
      <c r="Z25" s="1146" t="str">
        <f>Q25</f>
        <v>公共配套设施</v>
      </c>
      <c r="AA25" s="1573">
        <f>D25/F25</f>
        <v>1</v>
      </c>
      <c r="AB25" s="1573">
        <f>D25/H25</f>
        <v>1</v>
      </c>
      <c r="AC25" s="1573">
        <f>D25/J25</f>
        <v>1</v>
      </c>
    </row>
    <row r="26" spans="1:29" s="1216" customFormat="1" ht="15">
      <c r="A26" s="574"/>
      <c r="B26" s="592"/>
      <c r="C26" s="2614"/>
      <c r="D26" s="552"/>
      <c r="E26" s="551"/>
      <c r="F26" s="552"/>
      <c r="G26" s="551"/>
      <c r="H26" s="552"/>
      <c r="I26" s="573"/>
      <c r="J26" s="552"/>
      <c r="K26" s="528"/>
      <c r="L26" s="2133"/>
      <c r="M26" s="2134"/>
      <c r="N26" s="2134"/>
      <c r="O26" s="2135"/>
      <c r="P26" s="3387"/>
      <c r="Q26" s="1147"/>
      <c r="R26" s="1565"/>
      <c r="S26" s="1566"/>
      <c r="T26" s="1565"/>
      <c r="U26" s="1566"/>
      <c r="V26" s="1565"/>
      <c r="W26" s="1566"/>
      <c r="X26" s="1567"/>
      <c r="Y26" s="3387"/>
      <c r="Z26" s="1146"/>
      <c r="AA26" s="1568">
        <v>1</v>
      </c>
      <c r="AB26" s="1568">
        <v>1</v>
      </c>
      <c r="AC26" s="1568">
        <v>1</v>
      </c>
    </row>
    <row r="27" spans="1:29" s="1216" customFormat="1" ht="28.5">
      <c r="A27" s="574"/>
      <c r="B27" s="2615" t="s">
        <v>2556</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3"/>
      <c r="M27" s="2134"/>
      <c r="N27" s="2134"/>
      <c r="O27" s="2135"/>
      <c r="P27" s="3387"/>
      <c r="Q27" s="2600" t="str">
        <f t="shared" ref="Q27" si="9">B27</f>
        <v>基础设施水平</v>
      </c>
      <c r="R27" s="1565" t="s">
        <v>8</v>
      </c>
      <c r="S27" s="1566">
        <f>F27</f>
        <v>100</v>
      </c>
      <c r="T27" s="1565" t="s">
        <v>8</v>
      </c>
      <c r="U27" s="1566">
        <f>H27</f>
        <v>100</v>
      </c>
      <c r="V27" s="1565" t="s">
        <v>8</v>
      </c>
      <c r="W27" s="1566">
        <f>J27</f>
        <v>100</v>
      </c>
      <c r="X27" s="1567"/>
      <c r="Y27" s="3387"/>
      <c r="Z27" s="2597" t="str">
        <f>Q27</f>
        <v>基础设施水平</v>
      </c>
      <c r="AA27" s="1573">
        <f>D27/F27</f>
        <v>1</v>
      </c>
      <c r="AB27" s="1573">
        <f>D27/H27</f>
        <v>1</v>
      </c>
      <c r="AC27" s="1573">
        <f>D27/J27</f>
        <v>1</v>
      </c>
    </row>
    <row r="28" spans="1:29" s="1216" customFormat="1" ht="15">
      <c r="A28" s="574"/>
      <c r="B28" s="592"/>
      <c r="C28" s="2614"/>
      <c r="D28" s="552"/>
      <c r="E28" s="576"/>
      <c r="F28" s="552"/>
      <c r="G28" s="576"/>
      <c r="H28" s="552"/>
      <c r="I28" s="576"/>
      <c r="J28" s="552"/>
      <c r="K28" s="528"/>
      <c r="L28" s="2133"/>
      <c r="M28" s="2134"/>
      <c r="N28" s="2134"/>
      <c r="O28" s="2135"/>
      <c r="P28" s="3387"/>
      <c r="Q28" s="2600"/>
      <c r="R28" s="1565"/>
      <c r="S28" s="1566"/>
      <c r="T28" s="1565"/>
      <c r="U28" s="1566"/>
      <c r="V28" s="1565"/>
      <c r="W28" s="1566"/>
      <c r="X28" s="1567"/>
      <c r="Y28" s="3387"/>
      <c r="Z28" s="2597"/>
      <c r="AA28" s="1568">
        <v>1</v>
      </c>
      <c r="AB28" s="1568">
        <v>1</v>
      </c>
      <c r="AC28" s="1568">
        <v>1</v>
      </c>
    </row>
    <row r="29" spans="1:29" ht="15">
      <c r="A29" s="529"/>
      <c r="B29" s="592" t="s">
        <v>548</v>
      </c>
      <c r="C29" s="580"/>
      <c r="D29" s="537">
        <v>100</v>
      </c>
      <c r="E29" s="577"/>
      <c r="F29" s="537">
        <f>SUMIF(97:97,E29,98:98)-SUMIF(97:97,C29,98:98)+100</f>
        <v>100</v>
      </c>
      <c r="G29" s="577"/>
      <c r="H29" s="537">
        <f>SUMIF(97:97,G29,98:98)-SUMIF(97:97,C29,98:98)+100</f>
        <v>100</v>
      </c>
      <c r="I29" s="577"/>
      <c r="J29" s="537">
        <f>SUMIF(97:97,I29,98:98)-SUMIF(97:97,C29,98:98)+100</f>
        <v>100</v>
      </c>
      <c r="K29" s="532"/>
      <c r="L29" s="2140"/>
      <c r="M29" s="2132"/>
      <c r="N29" s="2132"/>
      <c r="O29" s="2139"/>
      <c r="P29" s="338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87"/>
      <c r="Z29" s="1572" t="str">
        <f t="shared" ref="Z29:Z42" si="13">Q29</f>
        <v>临街状况</v>
      </c>
      <c r="AA29" s="1573">
        <f t="shared" si="3"/>
        <v>1</v>
      </c>
      <c r="AB29" s="1573">
        <f t="shared" si="4"/>
        <v>1</v>
      </c>
      <c r="AC29" s="1573">
        <f t="shared" si="5"/>
        <v>1</v>
      </c>
    </row>
    <row r="30" spans="1:29" ht="27">
      <c r="A30" s="529"/>
      <c r="B30" s="918" t="s">
        <v>549</v>
      </c>
      <c r="C30" s="261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0"/>
      <c r="M30" s="2132"/>
      <c r="N30" s="2132"/>
      <c r="O30" s="2139"/>
      <c r="P30" s="3387"/>
      <c r="Q30" s="1569" t="str">
        <f t="shared" si="8"/>
        <v>毗邻道路的类型与等级</v>
      </c>
      <c r="R30" s="1570" t="s">
        <v>8</v>
      </c>
      <c r="S30" s="1571">
        <f t="shared" si="10"/>
        <v>100</v>
      </c>
      <c r="T30" s="1570" t="s">
        <v>8</v>
      </c>
      <c r="U30" s="1571">
        <f t="shared" si="11"/>
        <v>100</v>
      </c>
      <c r="V30" s="1570" t="s">
        <v>8</v>
      </c>
      <c r="W30" s="1571">
        <f t="shared" si="12"/>
        <v>100</v>
      </c>
      <c r="X30" s="1564"/>
      <c r="Y30" s="3387"/>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40"/>
      <c r="M31" s="2132"/>
      <c r="N31" s="2132"/>
      <c r="O31" s="2139"/>
      <c r="P31" s="3387"/>
      <c r="Q31" s="1569"/>
      <c r="R31" s="1570"/>
      <c r="S31" s="1571"/>
      <c r="T31" s="1570"/>
      <c r="U31" s="1571"/>
      <c r="V31" s="1570"/>
      <c r="W31" s="1571"/>
      <c r="X31" s="1564"/>
      <c r="Y31" s="3387"/>
      <c r="Z31" s="1572"/>
      <c r="AA31" s="1573">
        <v>1</v>
      </c>
      <c r="AB31" s="1573">
        <v>1</v>
      </c>
      <c r="AC31" s="1573">
        <v>1</v>
      </c>
    </row>
    <row r="32" spans="1:29" ht="15">
      <c r="A32" s="529"/>
      <c r="B32" s="524" t="s">
        <v>550</v>
      </c>
      <c r="C32" s="261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0"/>
      <c r="M32" s="2132"/>
      <c r="N32" s="2132"/>
      <c r="O32" s="2139"/>
      <c r="P32" s="3387"/>
      <c r="Q32" s="1569" t="str">
        <f t="shared" si="8"/>
        <v>土地级别</v>
      </c>
      <c r="R32" s="1570" t="s">
        <v>8</v>
      </c>
      <c r="S32" s="1571">
        <f t="shared" si="10"/>
        <v>100</v>
      </c>
      <c r="T32" s="1570" t="s">
        <v>8</v>
      </c>
      <c r="U32" s="1571">
        <f t="shared" si="11"/>
        <v>100</v>
      </c>
      <c r="V32" s="1570" t="s">
        <v>8</v>
      </c>
      <c r="W32" s="1571">
        <f t="shared" si="12"/>
        <v>100</v>
      </c>
      <c r="X32" s="1564"/>
      <c r="Y32" s="3387"/>
      <c r="Z32" s="1572" t="str">
        <f t="shared" si="13"/>
        <v>土地级别</v>
      </c>
      <c r="AA32" s="1573">
        <f t="shared" si="3"/>
        <v>1</v>
      </c>
      <c r="AB32" s="1573">
        <f t="shared" si="4"/>
        <v>1</v>
      </c>
      <c r="AC32" s="1573">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0"/>
      <c r="M33" s="2132"/>
      <c r="N33" s="2132"/>
      <c r="O33" s="2139"/>
      <c r="P33" s="3387"/>
      <c r="Q33" s="1569">
        <f t="shared" si="8"/>
        <v>111</v>
      </c>
      <c r="R33" s="1570" t="s">
        <v>8</v>
      </c>
      <c r="S33" s="1571">
        <f t="shared" si="10"/>
        <v>100</v>
      </c>
      <c r="T33" s="1570" t="s">
        <v>8</v>
      </c>
      <c r="U33" s="1571">
        <f t="shared" si="11"/>
        <v>100</v>
      </c>
      <c r="V33" s="1570" t="s">
        <v>8</v>
      </c>
      <c r="W33" s="1571">
        <f t="shared" si="12"/>
        <v>100</v>
      </c>
      <c r="X33" s="1564"/>
      <c r="Y33" s="3387"/>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0"/>
      <c r="M34" s="2132"/>
      <c r="N34" s="2132"/>
      <c r="O34" s="2139"/>
      <c r="P34" s="3388" t="s">
        <v>551</v>
      </c>
      <c r="Q34" s="1569">
        <f t="shared" si="8"/>
        <v>111</v>
      </c>
      <c r="R34" s="1570" t="s">
        <v>8</v>
      </c>
      <c r="S34" s="1571">
        <f t="shared" si="10"/>
        <v>100</v>
      </c>
      <c r="T34" s="1570" t="s">
        <v>8</v>
      </c>
      <c r="U34" s="1571">
        <f t="shared" si="11"/>
        <v>100</v>
      </c>
      <c r="V34" s="1570" t="s">
        <v>8</v>
      </c>
      <c r="W34" s="1571">
        <f t="shared" si="12"/>
        <v>100</v>
      </c>
      <c r="X34" s="1564"/>
      <c r="Y34" s="3389" t="s">
        <v>551</v>
      </c>
      <c r="Z34" s="1572">
        <f t="shared" si="13"/>
        <v>111</v>
      </c>
      <c r="AA34" s="1573">
        <f t="shared" si="3"/>
        <v>1</v>
      </c>
      <c r="AB34" s="1573">
        <f t="shared" si="4"/>
        <v>1</v>
      </c>
      <c r="AC34" s="1573">
        <f t="shared" si="5"/>
        <v>1</v>
      </c>
    </row>
    <row r="35" spans="1:29" s="1335" customFormat="1" ht="15.75" thickBot="1">
      <c r="A35" s="586"/>
      <c r="B35" s="261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38"/>
      <c r="M35" s="2169"/>
      <c r="N35" s="2169"/>
      <c r="O35" s="2141"/>
      <c r="P35" s="3389"/>
      <c r="Q35" s="1569">
        <f t="shared" si="8"/>
        <v>111</v>
      </c>
      <c r="R35" s="1574" t="s">
        <v>8</v>
      </c>
      <c r="S35" s="1575">
        <f t="shared" si="10"/>
        <v>100</v>
      </c>
      <c r="T35" s="1574" t="s">
        <v>8</v>
      </c>
      <c r="U35" s="1575">
        <f t="shared" si="11"/>
        <v>100</v>
      </c>
      <c r="V35" s="1574" t="s">
        <v>8</v>
      </c>
      <c r="W35" s="1575">
        <f t="shared" si="12"/>
        <v>100</v>
      </c>
      <c r="X35" s="1576"/>
      <c r="Y35" s="3389"/>
      <c r="Z35" s="1577">
        <f t="shared" si="13"/>
        <v>111</v>
      </c>
      <c r="AA35" s="1573">
        <f t="shared" si="3"/>
        <v>1</v>
      </c>
      <c r="AB35" s="1573">
        <f t="shared" si="4"/>
        <v>1</v>
      </c>
      <c r="AC35" s="1573">
        <f t="shared" si="5"/>
        <v>1</v>
      </c>
    </row>
    <row r="36" spans="1:29" ht="15">
      <c r="A36" s="2931" t="s">
        <v>2764</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0"/>
      <c r="M36" s="2132"/>
      <c r="N36" s="2132"/>
      <c r="O36" s="2139"/>
      <c r="P36" s="3389"/>
      <c r="Q36" s="1569" t="str">
        <f>B36</f>
        <v>宗地面积</v>
      </c>
      <c r="R36" s="1570" t="s">
        <v>8</v>
      </c>
      <c r="S36" s="1571" t="e">
        <f t="shared" si="10"/>
        <v>#N/A</v>
      </c>
      <c r="T36" s="1570" t="s">
        <v>8</v>
      </c>
      <c r="U36" s="1571" t="e">
        <f t="shared" si="11"/>
        <v>#N/A</v>
      </c>
      <c r="V36" s="1570" t="s">
        <v>8</v>
      </c>
      <c r="W36" s="1571" t="e">
        <f t="shared" si="12"/>
        <v>#N/A</v>
      </c>
      <c r="X36" s="1564"/>
      <c r="Y36" s="3389"/>
      <c r="Z36" s="1572" t="str">
        <f t="shared" si="13"/>
        <v>宗地面积</v>
      </c>
      <c r="AA36" s="1573" t="e">
        <f t="shared" si="3"/>
        <v>#N/A</v>
      </c>
      <c r="AB36" s="1573" t="e">
        <f t="shared" si="4"/>
        <v>#N/A</v>
      </c>
      <c r="AC36" s="1573" t="e">
        <f t="shared" si="5"/>
        <v>#N/A</v>
      </c>
    </row>
    <row r="37" spans="1:29" ht="15">
      <c r="A37" s="591"/>
      <c r="B37" s="524" t="s">
        <v>554</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0"/>
      <c r="M37" s="2132"/>
      <c r="N37" s="2132"/>
      <c r="O37" s="2139"/>
      <c r="P37" s="3389"/>
      <c r="Q37" s="1569" t="str">
        <f t="shared" ref="Q37:Q42" si="14">B37</f>
        <v>宗地形状</v>
      </c>
      <c r="R37" s="1570" t="s">
        <v>8</v>
      </c>
      <c r="S37" s="1571">
        <f t="shared" si="10"/>
        <v>100</v>
      </c>
      <c r="T37" s="1570" t="s">
        <v>8</v>
      </c>
      <c r="U37" s="1571">
        <f t="shared" si="11"/>
        <v>100</v>
      </c>
      <c r="V37" s="1570" t="s">
        <v>8</v>
      </c>
      <c r="W37" s="1571">
        <f t="shared" si="12"/>
        <v>100</v>
      </c>
      <c r="X37" s="1564"/>
      <c r="Y37" s="3389"/>
      <c r="Z37" s="1572" t="str">
        <f t="shared" si="13"/>
        <v>宗地形状</v>
      </c>
      <c r="AA37" s="1573">
        <f t="shared" si="3"/>
        <v>1</v>
      </c>
      <c r="AB37" s="1573">
        <f t="shared" si="4"/>
        <v>1</v>
      </c>
      <c r="AC37" s="1573">
        <f t="shared" si="5"/>
        <v>1</v>
      </c>
    </row>
    <row r="38" spans="1:29" s="1216" customFormat="1" ht="15">
      <c r="A38" s="597"/>
      <c r="B38" s="1893" t="s">
        <v>2429</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33"/>
      <c r="M38" s="2134"/>
      <c r="N38" s="2134"/>
      <c r="O38" s="2135"/>
      <c r="P38" s="3389"/>
      <c r="Q38" s="1569" t="str">
        <f t="shared" si="14"/>
        <v>宗地开发程度</v>
      </c>
      <c r="R38" s="1565" t="s">
        <v>8</v>
      </c>
      <c r="S38" s="1566">
        <f t="shared" si="10"/>
        <v>100</v>
      </c>
      <c r="T38" s="1565" t="s">
        <v>8</v>
      </c>
      <c r="U38" s="1566">
        <f t="shared" si="11"/>
        <v>100</v>
      </c>
      <c r="V38" s="1565" t="s">
        <v>8</v>
      </c>
      <c r="W38" s="1566">
        <f t="shared" si="12"/>
        <v>100</v>
      </c>
      <c r="X38" s="1567"/>
      <c r="Y38" s="3389"/>
      <c r="Z38" s="1146" t="str">
        <f t="shared" si="13"/>
        <v>宗地开发程度</v>
      </c>
      <c r="AA38" s="1568">
        <f t="shared" si="3"/>
        <v>1</v>
      </c>
      <c r="AB38" s="1568">
        <f t="shared" si="4"/>
        <v>1</v>
      </c>
      <c r="AC38" s="1568">
        <f t="shared" si="5"/>
        <v>1</v>
      </c>
    </row>
    <row r="39" spans="1:29" ht="15">
      <c r="A39" s="591"/>
      <c r="B39" s="524" t="s">
        <v>556</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389" t="s">
        <v>602</v>
      </c>
      <c r="Q39" s="1569" t="str">
        <f t="shared" si="14"/>
        <v>工程地质条件</v>
      </c>
      <c r="R39" s="1570" t="s">
        <v>8</v>
      </c>
      <c r="S39" s="1571">
        <f t="shared" si="10"/>
        <v>100</v>
      </c>
      <c r="T39" s="1570" t="s">
        <v>8</v>
      </c>
      <c r="U39" s="1571">
        <f t="shared" si="11"/>
        <v>100</v>
      </c>
      <c r="V39" s="1570" t="s">
        <v>8</v>
      </c>
      <c r="W39" s="1571">
        <f t="shared" si="12"/>
        <v>100</v>
      </c>
      <c r="X39" s="1564"/>
      <c r="Y39" s="3389" t="s">
        <v>602</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0"/>
      <c r="M40" s="2132"/>
      <c r="N40" s="2132"/>
      <c r="O40" s="2139"/>
      <c r="P40" s="3389"/>
      <c r="Q40" s="1569">
        <f t="shared" si="14"/>
        <v>111</v>
      </c>
      <c r="R40" s="1570" t="s">
        <v>8</v>
      </c>
      <c r="S40" s="1571">
        <f t="shared" si="10"/>
        <v>100</v>
      </c>
      <c r="T40" s="1570" t="s">
        <v>8</v>
      </c>
      <c r="U40" s="1571">
        <f t="shared" si="11"/>
        <v>100</v>
      </c>
      <c r="V40" s="1570" t="s">
        <v>8</v>
      </c>
      <c r="W40" s="1571">
        <f t="shared" si="12"/>
        <v>100</v>
      </c>
      <c r="X40" s="1564"/>
      <c r="Y40" s="3389"/>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0"/>
      <c r="M41" s="2132"/>
      <c r="N41" s="2132"/>
      <c r="O41" s="2139"/>
      <c r="P41" s="3389"/>
      <c r="Q41" s="1569">
        <f t="shared" si="14"/>
        <v>111</v>
      </c>
      <c r="R41" s="1570" t="s">
        <v>8</v>
      </c>
      <c r="S41" s="1571">
        <f t="shared" si="10"/>
        <v>100</v>
      </c>
      <c r="T41" s="1570" t="s">
        <v>8</v>
      </c>
      <c r="U41" s="1571">
        <f t="shared" si="11"/>
        <v>100</v>
      </c>
      <c r="V41" s="1570" t="s">
        <v>8</v>
      </c>
      <c r="W41" s="1571">
        <f t="shared" si="12"/>
        <v>100</v>
      </c>
      <c r="X41" s="1564"/>
      <c r="Y41" s="3389"/>
      <c r="Z41" s="1572">
        <f t="shared" si="13"/>
        <v>111</v>
      </c>
      <c r="AA41" s="1573">
        <f t="shared" si="3"/>
        <v>1</v>
      </c>
      <c r="AB41" s="1573">
        <f t="shared" si="4"/>
        <v>1</v>
      </c>
      <c r="AC41" s="1573">
        <f t="shared" si="5"/>
        <v>1</v>
      </c>
    </row>
    <row r="42" spans="1:29" s="1335"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38"/>
      <c r="M42" s="2169"/>
      <c r="N42" s="2169"/>
      <c r="O42" s="2141"/>
      <c r="P42" s="3389"/>
      <c r="Q42" s="1569">
        <f t="shared" si="14"/>
        <v>111</v>
      </c>
      <c r="R42" s="1574" t="s">
        <v>8</v>
      </c>
      <c r="S42" s="1575">
        <f t="shared" si="10"/>
        <v>100</v>
      </c>
      <c r="T42" s="1574" t="s">
        <v>8</v>
      </c>
      <c r="U42" s="1575">
        <f t="shared" si="11"/>
        <v>100</v>
      </c>
      <c r="V42" s="1574" t="s">
        <v>8</v>
      </c>
      <c r="W42" s="1575">
        <f t="shared" si="12"/>
        <v>100</v>
      </c>
      <c r="X42" s="1576"/>
      <c r="Y42" s="3389"/>
      <c r="Z42" s="1577">
        <f t="shared" si="13"/>
        <v>111</v>
      </c>
      <c r="AA42" s="1573">
        <f t="shared" si="3"/>
        <v>1</v>
      </c>
      <c r="AB42" s="1573">
        <f t="shared" si="4"/>
        <v>1</v>
      </c>
      <c r="AC42" s="1573">
        <f t="shared" si="5"/>
        <v>1</v>
      </c>
    </row>
    <row r="43" spans="1:29" ht="15">
      <c r="A43" s="604" t="s">
        <v>557</v>
      </c>
      <c r="B43" s="605" t="s">
        <v>2945</v>
      </c>
      <c r="C43" s="606" t="s">
        <v>1</v>
      </c>
      <c r="D43" s="607"/>
      <c r="E43" s="608"/>
      <c r="F43" s="609"/>
      <c r="G43" s="610"/>
      <c r="H43" s="611"/>
      <c r="I43" s="608"/>
      <c r="J43" s="611"/>
      <c r="K43" s="1336"/>
      <c r="L43" s="2142"/>
      <c r="M43" s="2132"/>
      <c r="N43" s="2132"/>
      <c r="O43" s="2143"/>
      <c r="P43" s="3384" t="str">
        <f>A43</f>
        <v>成交单价</v>
      </c>
      <c r="Q43" s="3384"/>
      <c r="R43" s="3398">
        <f>E43</f>
        <v>0</v>
      </c>
      <c r="S43" s="3398"/>
      <c r="T43" s="3398">
        <f>G43</f>
        <v>0</v>
      </c>
      <c r="U43" s="3398"/>
      <c r="V43" s="3398">
        <f>I43</f>
        <v>0</v>
      </c>
      <c r="W43" s="3398"/>
      <c r="X43" s="1556"/>
      <c r="Y43" s="1578"/>
      <c r="Z43" s="1556"/>
      <c r="AA43" s="1556"/>
      <c r="AB43" s="1556"/>
      <c r="AC43" s="1556"/>
    </row>
    <row r="44" spans="1:29" ht="15.75" thickBot="1">
      <c r="A44" s="612" t="s">
        <v>2702</v>
      </c>
      <c r="B44" s="613"/>
      <c r="C44" s="614" t="e">
        <f>R45</f>
        <v>#DIV/0!</v>
      </c>
      <c r="D44" s="615"/>
      <c r="E44" s="614" t="e">
        <f>R44</f>
        <v>#DIV/0!</v>
      </c>
      <c r="F44" s="616"/>
      <c r="G44" s="617" t="e">
        <f>T44</f>
        <v>#DIV/0!</v>
      </c>
      <c r="H44" s="615"/>
      <c r="I44" s="614" t="e">
        <f>V44</f>
        <v>#DIV/0!</v>
      </c>
      <c r="J44" s="615"/>
      <c r="K44" s="1337"/>
      <c r="L44" s="2142"/>
      <c r="M44" s="2132"/>
      <c r="N44" s="2132"/>
      <c r="O44" s="2143"/>
      <c r="P44" s="3384" t="str">
        <f>A44</f>
        <v>比较价格（元/平方米）</v>
      </c>
      <c r="Q44" s="3384"/>
      <c r="R44" s="3409" t="e">
        <f>ROUND(PRODUCT(R43,AA9:AA42),0)</f>
        <v>#DIV/0!</v>
      </c>
      <c r="S44" s="3409"/>
      <c r="T44" s="3409" t="e">
        <f>ROUND(PRODUCT(T43,AB9:AB42),0)</f>
        <v>#DIV/0!</v>
      </c>
      <c r="U44" s="3409"/>
      <c r="V44" s="3409" t="e">
        <f>ROUND(PRODUCT(V43,AC9:AC42),0)</f>
        <v>#DIV/0!</v>
      </c>
      <c r="W44" s="3409"/>
      <c r="X44" s="1556"/>
      <c r="Y44" s="1556"/>
      <c r="Z44" s="1556"/>
      <c r="AA44" s="1556"/>
      <c r="AB44" s="1556"/>
      <c r="AC44" s="1556"/>
    </row>
    <row r="45" spans="1:29" ht="15.75" thickBot="1">
      <c r="A45" s="618" t="s">
        <v>2946</v>
      </c>
      <c r="B45" s="619"/>
      <c r="C45" s="620" t="e">
        <f>R45</f>
        <v>#DIV/0!</v>
      </c>
      <c r="D45" s="620"/>
      <c r="E45" s="620"/>
      <c r="F45" s="620"/>
      <c r="G45" s="620"/>
      <c r="H45" s="620"/>
      <c r="I45" s="620"/>
      <c r="J45" s="620"/>
      <c r="K45" s="1338"/>
      <c r="L45" s="2142"/>
      <c r="M45" s="2132"/>
      <c r="N45" s="2132"/>
      <c r="O45" s="2143"/>
      <c r="P45" s="3406" t="str">
        <f>A45</f>
        <v>估价对象XX用房的比较价格（楼面单价，元/平方米）</v>
      </c>
      <c r="Q45" s="3407"/>
      <c r="R45" s="3408" t="e">
        <f>ROUND(AVERAGE(R44:V44),0)</f>
        <v>#DIV/0!</v>
      </c>
      <c r="S45" s="3408"/>
      <c r="T45" s="3408"/>
      <c r="U45" s="3408"/>
      <c r="V45" s="3408"/>
      <c r="W45" s="3408"/>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6" t="s">
        <v>561</v>
      </c>
      <c r="B52" s="627" t="s">
        <v>562</v>
      </c>
      <c r="C52" s="1557" t="s">
        <v>1726</v>
      </c>
      <c r="D52" s="2225" t="s">
        <v>2297</v>
      </c>
      <c r="E52" s="628" t="s">
        <v>563</v>
      </c>
      <c r="F52" s="1949" t="s">
        <v>564</v>
      </c>
      <c r="G52" s="3410" t="s">
        <v>2288</v>
      </c>
      <c r="H52" s="3411"/>
      <c r="I52" s="1950" t="s">
        <v>1949</v>
      </c>
      <c r="J52" s="1552">
        <f>项目基本情况!F41</f>
        <v>0</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0" t="s">
        <v>565</v>
      </c>
      <c r="B53" s="631" t="e">
        <f>C45</f>
        <v>#DIV/0!</v>
      </c>
      <c r="C53" s="632">
        <v>1</v>
      </c>
      <c r="D53" s="2226">
        <v>1</v>
      </c>
      <c r="E53" s="632">
        <f>'数据-汇总表'!E8+'数据-汇总表'!E9</f>
        <v>135065.77000000002</v>
      </c>
      <c r="F53" s="1948" t="e">
        <f t="shared" ref="F53:F62" si="15">ROUND(B53*E53/10000,0)</f>
        <v>#DIV/0!</v>
      </c>
      <c r="G53" s="3412"/>
      <c r="H53" s="3413"/>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4" t="s">
        <v>566</v>
      </c>
      <c r="B54" s="635" t="e">
        <f>ROUND($C$45*C54*D54,0)</f>
        <v>#DIV/0!</v>
      </c>
      <c r="C54" s="375">
        <f t="shared" ref="C54:C62" si="16">IF($C$52="北京市系数",I54,J54)</f>
        <v>0</v>
      </c>
      <c r="D54" s="2227">
        <v>0.25</v>
      </c>
      <c r="E54" s="636"/>
      <c r="F54" s="1948" t="e">
        <f t="shared" si="15"/>
        <v>#DIV/0!</v>
      </c>
      <c r="G54" s="3414"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4" t="s">
        <v>567</v>
      </c>
      <c r="B55" s="635" t="e">
        <f t="shared" ref="B55:B62" si="17">ROUND($C$45*C55*D55,0)</f>
        <v>#DIV/0!</v>
      </c>
      <c r="C55" s="375">
        <f t="shared" si="16"/>
        <v>0</v>
      </c>
      <c r="D55" s="2227">
        <v>0.25</v>
      </c>
      <c r="E55" s="636"/>
      <c r="F55" s="1948" t="e">
        <f t="shared" si="15"/>
        <v>#DIV/0!</v>
      </c>
      <c r="G55" s="3414"/>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4" t="s">
        <v>568</v>
      </c>
      <c r="B56" s="635" t="e">
        <f t="shared" si="17"/>
        <v>#DIV/0!</v>
      </c>
      <c r="C56" s="375">
        <f t="shared" si="16"/>
        <v>0</v>
      </c>
      <c r="D56" s="2227">
        <v>0.25</v>
      </c>
      <c r="E56" s="636"/>
      <c r="F56" s="1948" t="e">
        <f t="shared" si="15"/>
        <v>#DIV/0!</v>
      </c>
      <c r="G56" s="3414"/>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4" t="s">
        <v>569</v>
      </c>
      <c r="B57" s="635" t="e">
        <f t="shared" si="17"/>
        <v>#DIV/0!</v>
      </c>
      <c r="C57" s="375">
        <f t="shared" si="16"/>
        <v>0</v>
      </c>
      <c r="D57" s="2227">
        <v>0.25</v>
      </c>
      <c r="E57" s="636"/>
      <c r="F57" s="1948" t="e">
        <f t="shared" si="15"/>
        <v>#DIV/0!</v>
      </c>
      <c r="G57" s="3414"/>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2332</v>
      </c>
      <c r="B58" s="635" t="e">
        <f t="shared" si="17"/>
        <v>#DIV/0!</v>
      </c>
      <c r="C58" s="375">
        <f t="shared" si="16"/>
        <v>0</v>
      </c>
      <c r="D58" s="2227">
        <v>0.25</v>
      </c>
      <c r="E58" s="638">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4" t="s">
        <v>570</v>
      </c>
      <c r="B59" s="635" t="e">
        <f t="shared" si="17"/>
        <v>#DIV/0!</v>
      </c>
      <c r="C59" s="375">
        <f t="shared" si="16"/>
        <v>0</v>
      </c>
      <c r="D59" s="2227">
        <v>0.25</v>
      </c>
      <c r="E59" s="638">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4" t="s">
        <v>571</v>
      </c>
      <c r="B60" s="635" t="e">
        <f t="shared" si="17"/>
        <v>#DIV/0!</v>
      </c>
      <c r="C60" s="375">
        <f t="shared" si="16"/>
        <v>0</v>
      </c>
      <c r="D60" s="2227">
        <v>0.25</v>
      </c>
      <c r="E60" s="638">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4" t="s">
        <v>572</v>
      </c>
      <c r="B61" s="635" t="e">
        <f t="shared" si="17"/>
        <v>#DIV/0!</v>
      </c>
      <c r="C61" s="375">
        <f t="shared" si="16"/>
        <v>0</v>
      </c>
      <c r="D61" s="2227">
        <v>0.25</v>
      </c>
      <c r="E61" s="638">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4" t="s">
        <v>573</v>
      </c>
      <c r="B62" s="635" t="e">
        <f t="shared" si="17"/>
        <v>#DIV/0!</v>
      </c>
      <c r="C62" s="375">
        <f t="shared" si="16"/>
        <v>0</v>
      </c>
      <c r="D62" s="2227">
        <v>0.25</v>
      </c>
      <c r="E62" s="638">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39" t="s">
        <v>574</v>
      </c>
      <c r="B63" s="640" t="s">
        <v>17</v>
      </c>
      <c r="C63" s="640" t="s">
        <v>18</v>
      </c>
      <c r="D63" s="640" t="s">
        <v>2298</v>
      </c>
      <c r="E63" s="640">
        <f>IF(B43="楼面地价",SUM(E53:E62),'数据-汇总表'!D3)</f>
        <v>37378.1</v>
      </c>
      <c r="F63" s="641"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2540</v>
      </c>
      <c r="B67" s="643"/>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2" t="s">
        <v>2658</v>
      </c>
      <c r="B68" s="476" t="str">
        <f>"北京市平均增长率"&amp;TEXT(基准地价!P24,"0.00%")</f>
        <v>北京市平均增长率0.00%</v>
      </c>
      <c r="C68" s="890">
        <v>100</v>
      </c>
      <c r="D68" s="727"/>
      <c r="E68" s="727"/>
      <c r="F68" s="727"/>
      <c r="G68" s="727"/>
      <c r="H68" s="727"/>
      <c r="I68" s="727"/>
      <c r="J68" s="727"/>
      <c r="K68" s="727"/>
      <c r="L68" s="727"/>
      <c r="M68" s="2816"/>
      <c r="N68" s="2817"/>
      <c r="O68" s="2160"/>
      <c r="P68" s="2156"/>
      <c r="Q68" s="1991"/>
      <c r="R68" s="1991"/>
      <c r="S68" s="1991"/>
      <c r="T68" s="1991"/>
      <c r="U68" s="1991"/>
      <c r="V68" s="1991"/>
      <c r="W68" s="1991"/>
      <c r="X68" s="1991"/>
      <c r="Y68" s="1991"/>
      <c r="Z68" s="1991"/>
      <c r="AA68" s="1991"/>
      <c r="AB68" s="1991"/>
      <c r="AC68" s="1991"/>
    </row>
    <row r="69" spans="1:29" s="1216" customFormat="1" ht="15.75" thickBot="1">
      <c r="A69" s="650" t="s">
        <v>576</v>
      </c>
      <c r="B69" s="651"/>
      <c r="C69" s="2814"/>
      <c r="D69" s="2815"/>
      <c r="E69" s="2815"/>
      <c r="F69" s="2815"/>
      <c r="G69" s="2815"/>
      <c r="H69" s="2815"/>
      <c r="I69" s="2815"/>
      <c r="J69" s="2815"/>
      <c r="K69" s="2815"/>
      <c r="L69" s="2815"/>
      <c r="M69" s="2815"/>
      <c r="N69" s="2815"/>
      <c r="O69" s="2160"/>
      <c r="P69" s="2156"/>
      <c r="Q69" s="2156"/>
      <c r="R69" s="1991"/>
      <c r="S69" s="1991"/>
      <c r="T69" s="1991"/>
      <c r="U69" s="1991"/>
      <c r="V69" s="1991"/>
      <c r="W69" s="1991"/>
      <c r="X69" s="1991"/>
      <c r="Y69" s="1991"/>
      <c r="Z69" s="1991"/>
      <c r="AA69" s="1991"/>
      <c r="AB69" s="1991"/>
      <c r="AC69" s="1991"/>
    </row>
    <row r="70" spans="1:29" s="1216" customFormat="1" ht="15">
      <c r="A70" s="656" t="s">
        <v>532</v>
      </c>
      <c r="B70" s="645"/>
      <c r="C70" s="657" t="s">
        <v>577</v>
      </c>
      <c r="D70" s="658"/>
      <c r="E70" s="658"/>
      <c r="F70" s="658"/>
      <c r="G70" s="658"/>
      <c r="H70" s="658"/>
      <c r="I70" s="658"/>
      <c r="J70" s="658"/>
      <c r="K70" s="658"/>
      <c r="L70" s="659"/>
      <c r="M70" s="660"/>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6"/>
      <c r="B71" s="645"/>
      <c r="C71" s="646">
        <v>100</v>
      </c>
      <c r="D71" s="647"/>
      <c r="E71" s="647"/>
      <c r="F71" s="647"/>
      <c r="G71" s="647"/>
      <c r="H71" s="647"/>
      <c r="I71" s="647"/>
      <c r="J71" s="647"/>
      <c r="K71" s="647"/>
      <c r="L71" s="647"/>
      <c r="M71" s="649"/>
      <c r="N71" s="2160"/>
      <c r="O71" s="2160"/>
      <c r="P71" s="2156"/>
      <c r="Q71" s="2156"/>
      <c r="R71" s="1991"/>
      <c r="S71" s="1991"/>
      <c r="T71" s="1991"/>
      <c r="U71" s="1991"/>
      <c r="V71" s="1991"/>
      <c r="W71" s="1991"/>
      <c r="X71" s="1991"/>
      <c r="Y71" s="1991"/>
      <c r="Z71" s="1991"/>
      <c r="AA71" s="1991"/>
      <c r="AB71" s="1991"/>
      <c r="AC71" s="1991"/>
    </row>
    <row r="72" spans="1:29">
      <c r="A72" s="661" t="s">
        <v>578</v>
      </c>
      <c r="B72" s="662" t="s">
        <v>535</v>
      </c>
      <c r="C72" s="595"/>
      <c r="D72" s="595"/>
      <c r="E72" s="595"/>
      <c r="F72" s="595"/>
      <c r="G72" s="595"/>
      <c r="H72" s="595"/>
      <c r="I72" s="595"/>
      <c r="J72" s="595"/>
      <c r="K72" s="663"/>
      <c r="L72" s="664"/>
      <c r="M72" s="665"/>
      <c r="N72" s="2162"/>
      <c r="O72" s="2162"/>
      <c r="P72" s="2163"/>
      <c r="Q72" s="2156"/>
      <c r="R72" s="2143"/>
      <c r="S72" s="2143"/>
      <c r="T72" s="2143"/>
      <c r="U72" s="2143"/>
      <c r="V72" s="2143"/>
      <c r="W72" s="2143"/>
      <c r="X72" s="2143"/>
      <c r="Y72" s="2143"/>
      <c r="Z72" s="2143"/>
      <c r="AA72" s="2143"/>
      <c r="AB72" s="2143"/>
      <c r="AC72" s="2143"/>
    </row>
    <row r="73" spans="1:29" ht="15.75" thickBot="1">
      <c r="A73" s="666"/>
      <c r="B73" s="667"/>
      <c r="C73" s="668"/>
      <c r="D73" s="668"/>
      <c r="E73" s="668"/>
      <c r="F73" s="668"/>
      <c r="G73" s="668"/>
      <c r="H73" s="668"/>
      <c r="I73" s="668"/>
      <c r="J73" s="668"/>
      <c r="K73" s="668"/>
      <c r="L73" s="668"/>
      <c r="M73" s="669"/>
      <c r="N73" s="2164"/>
      <c r="O73" s="2164"/>
      <c r="P73" s="2163"/>
      <c r="Q73" s="2156"/>
      <c r="R73" s="2143"/>
      <c r="S73" s="2143"/>
      <c r="T73" s="2143"/>
      <c r="U73" s="2143"/>
      <c r="V73" s="2143"/>
      <c r="W73" s="2143"/>
      <c r="X73" s="2143"/>
      <c r="Y73" s="2143"/>
      <c r="Z73" s="2143"/>
      <c r="AA73" s="2143"/>
      <c r="AB73" s="2143"/>
      <c r="AC73" s="2143"/>
    </row>
    <row r="74" spans="1:29" ht="27.75" thickTop="1">
      <c r="A74" s="666"/>
      <c r="B74" s="670" t="s">
        <v>538</v>
      </c>
      <c r="C74" s="671"/>
      <c r="D74" s="671"/>
      <c r="E74" s="671"/>
      <c r="F74" s="671"/>
      <c r="G74" s="671"/>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c r="D75" s="676"/>
      <c r="E75" s="676"/>
      <c r="F75" s="676"/>
      <c r="G75" s="676"/>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6"/>
      <c r="B77" s="680"/>
      <c r="C77" s="538"/>
      <c r="D77" s="538"/>
      <c r="E77" s="538"/>
      <c r="F77" s="538"/>
      <c r="G77" s="538"/>
      <c r="H77" s="538"/>
      <c r="I77" s="538"/>
      <c r="J77" s="538"/>
      <c r="K77" s="681"/>
      <c r="L77" s="682"/>
      <c r="M77" s="683"/>
      <c r="N77" s="2162"/>
      <c r="O77" s="2162"/>
      <c r="P77" s="2163"/>
      <c r="Q77" s="2156"/>
      <c r="R77" s="2143"/>
      <c r="S77" s="2143"/>
      <c r="T77" s="2143"/>
      <c r="U77" s="2143"/>
      <c r="V77" s="2143"/>
      <c r="W77" s="2143"/>
      <c r="X77" s="2143"/>
      <c r="Y77" s="2143"/>
      <c r="Z77" s="2143"/>
      <c r="AA77" s="2143"/>
      <c r="AB77" s="2143"/>
      <c r="AC77" s="2143"/>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4"/>
      <c r="B79" s="670">
        <f>B14</f>
        <v>111</v>
      </c>
      <c r="C79" s="685"/>
      <c r="D79" s="685"/>
      <c r="E79" s="685"/>
      <c r="F79" s="685"/>
      <c r="G79" s="685"/>
      <c r="H79" s="686"/>
      <c r="I79" s="686"/>
      <c r="J79" s="686"/>
      <c r="K79" s="686"/>
      <c r="L79" s="687"/>
      <c r="M79" s="688"/>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4"/>
      <c r="B80" s="675"/>
      <c r="C80" s="689"/>
      <c r="D80" s="668"/>
      <c r="E80" s="668"/>
      <c r="F80" s="668"/>
      <c r="G80" s="668"/>
      <c r="H80" s="668"/>
      <c r="I80" s="668"/>
      <c r="J80" s="668"/>
      <c r="K80" s="668"/>
      <c r="L80" s="668"/>
      <c r="M80" s="669"/>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4"/>
      <c r="B81" s="670">
        <f>B15</f>
        <v>111</v>
      </c>
      <c r="C81" s="685"/>
      <c r="D81" s="685"/>
      <c r="E81" s="685"/>
      <c r="F81" s="685"/>
      <c r="G81" s="685"/>
      <c r="H81" s="686"/>
      <c r="I81" s="686"/>
      <c r="J81" s="686"/>
      <c r="K81" s="686"/>
      <c r="L81" s="687"/>
      <c r="M81" s="688"/>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4"/>
      <c r="B82" s="675"/>
      <c r="C82" s="689"/>
      <c r="D82" s="689"/>
      <c r="E82" s="689"/>
      <c r="F82" s="689"/>
      <c r="G82" s="689"/>
      <c r="H82" s="690"/>
      <c r="I82" s="690"/>
      <c r="J82" s="690"/>
      <c r="K82" s="690"/>
      <c r="L82" s="690"/>
      <c r="M82" s="691"/>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4"/>
      <c r="B83" s="678">
        <f>B16</f>
        <v>111</v>
      </c>
      <c r="C83" s="658"/>
      <c r="D83" s="658"/>
      <c r="E83" s="658"/>
      <c r="F83" s="658"/>
      <c r="G83" s="658"/>
      <c r="H83" s="692"/>
      <c r="I83" s="692"/>
      <c r="J83" s="692"/>
      <c r="K83" s="692"/>
      <c r="L83" s="693"/>
      <c r="M83" s="694"/>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5"/>
      <c r="B84" s="696"/>
      <c r="C84" s="697"/>
      <c r="D84" s="697"/>
      <c r="E84" s="697"/>
      <c r="F84" s="697"/>
      <c r="G84" s="697"/>
      <c r="H84" s="698"/>
      <c r="I84" s="698"/>
      <c r="J84" s="698"/>
      <c r="K84" s="698"/>
      <c r="L84" s="698"/>
      <c r="M84" s="699"/>
      <c r="N84" s="2165"/>
      <c r="O84" s="2165"/>
      <c r="P84" s="2166"/>
      <c r="Q84" s="2167"/>
      <c r="R84" s="2168"/>
      <c r="S84" s="2168"/>
      <c r="T84" s="2168"/>
      <c r="U84" s="2168"/>
      <c r="V84" s="2168"/>
      <c r="W84" s="2168"/>
      <c r="X84" s="2168"/>
      <c r="Y84" s="2168"/>
      <c r="Z84" s="2168"/>
      <c r="AA84" s="2168"/>
      <c r="AB84" s="2168"/>
      <c r="AC84" s="2168"/>
    </row>
    <row r="85" spans="1:29">
      <c r="A85" s="661" t="s">
        <v>540</v>
      </c>
      <c r="B85" s="662" t="s">
        <v>603</v>
      </c>
      <c r="C85" s="700" t="s">
        <v>580</v>
      </c>
      <c r="D85" s="700" t="s">
        <v>581</v>
      </c>
      <c r="E85" s="700" t="s">
        <v>582</v>
      </c>
      <c r="F85" s="700" t="s">
        <v>583</v>
      </c>
      <c r="G85" s="700" t="s">
        <v>584</v>
      </c>
      <c r="H85" s="701"/>
      <c r="I85" s="701"/>
      <c r="J85" s="701"/>
      <c r="K85" s="702"/>
      <c r="L85" s="703"/>
      <c r="M85" s="704"/>
      <c r="N85" s="2162"/>
      <c r="O85" s="2162"/>
      <c r="P85" s="2172"/>
      <c r="Q85" s="2156"/>
      <c r="R85" s="2143"/>
      <c r="S85" s="2143"/>
      <c r="T85" s="2143"/>
      <c r="U85" s="2143"/>
      <c r="V85" s="2143"/>
      <c r="W85" s="2143"/>
      <c r="X85" s="2143"/>
      <c r="Y85" s="2143"/>
      <c r="Z85" s="2143"/>
      <c r="AA85" s="2143"/>
      <c r="AB85" s="2143"/>
      <c r="AC85" s="2143"/>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4"/>
      <c r="O86" s="2164"/>
      <c r="P86" s="2163"/>
      <c r="Q86" s="2156"/>
      <c r="R86" s="2143"/>
      <c r="S86" s="2143"/>
      <c r="T86" s="2143"/>
      <c r="U86" s="2143"/>
      <c r="V86" s="2143"/>
      <c r="W86" s="2143"/>
      <c r="X86" s="2143"/>
      <c r="Y86" s="2143"/>
      <c r="Z86" s="2143"/>
      <c r="AA86" s="2143"/>
      <c r="AB86" s="2143"/>
      <c r="AC86" s="2143"/>
    </row>
    <row r="87" spans="1:29" ht="15.75" thickTop="1">
      <c r="A87" s="666"/>
      <c r="B87" s="670" t="s">
        <v>587</v>
      </c>
      <c r="C87" s="705" t="s">
        <v>580</v>
      </c>
      <c r="D87" s="705" t="s">
        <v>581</v>
      </c>
      <c r="E87" s="705" t="s">
        <v>582</v>
      </c>
      <c r="F87" s="705" t="s">
        <v>583</v>
      </c>
      <c r="G87" s="705" t="s">
        <v>584</v>
      </c>
      <c r="H87" s="671"/>
      <c r="I87" s="671"/>
      <c r="J87" s="671"/>
      <c r="K87" s="672"/>
      <c r="L87" s="673"/>
      <c r="M87" s="674"/>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6"/>
      <c r="B89" s="670" t="s">
        <v>588</v>
      </c>
      <c r="C89" s="705" t="s">
        <v>580</v>
      </c>
      <c r="D89" s="705" t="s">
        <v>581</v>
      </c>
      <c r="E89" s="705" t="s">
        <v>582</v>
      </c>
      <c r="F89" s="705" t="s">
        <v>583</v>
      </c>
      <c r="G89" s="705" t="s">
        <v>584</v>
      </c>
      <c r="H89" s="705"/>
      <c r="I89" s="705"/>
      <c r="J89" s="705"/>
      <c r="K89" s="705"/>
      <c r="L89" s="707"/>
      <c r="M89" s="708"/>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C90-$K21</f>
        <v>100</v>
      </c>
      <c r="E90" s="676">
        <f>D90-$K21</f>
        <v>100</v>
      </c>
      <c r="F90" s="676">
        <f>E90-$K21</f>
        <v>100</v>
      </c>
      <c r="G90" s="676">
        <f>F90-$K21</f>
        <v>100</v>
      </c>
      <c r="H90" s="676"/>
      <c r="I90" s="676"/>
      <c r="J90" s="676"/>
      <c r="K90" s="676"/>
      <c r="L90" s="676"/>
      <c r="M90" s="677"/>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6"/>
      <c r="B91" s="670" t="s">
        <v>589</v>
      </c>
      <c r="C91" s="700" t="s">
        <v>580</v>
      </c>
      <c r="D91" s="700" t="s">
        <v>581</v>
      </c>
      <c r="E91" s="700" t="s">
        <v>582</v>
      </c>
      <c r="F91" s="700" t="s">
        <v>583</v>
      </c>
      <c r="G91" s="700" t="s">
        <v>584</v>
      </c>
      <c r="H91" s="705"/>
      <c r="I91" s="705"/>
      <c r="J91" s="705"/>
      <c r="K91" s="705"/>
      <c r="L91" s="705"/>
      <c r="M91" s="708"/>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6"/>
      <c r="B92" s="675"/>
      <c r="C92" s="676">
        <v>100</v>
      </c>
      <c r="D92" s="676">
        <f>C92-$K23</f>
        <v>100</v>
      </c>
      <c r="E92" s="676">
        <f>D92-$K23</f>
        <v>100</v>
      </c>
      <c r="F92" s="676">
        <f>E92-$K23</f>
        <v>100</v>
      </c>
      <c r="G92" s="676">
        <f>F92-$K23</f>
        <v>100</v>
      </c>
      <c r="H92" s="676"/>
      <c r="I92" s="676"/>
      <c r="J92" s="676"/>
      <c r="K92" s="676"/>
      <c r="L92" s="676"/>
      <c r="M92" s="677"/>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4"/>
      <c r="B93" s="1894" t="s">
        <v>2555</v>
      </c>
      <c r="C93" s="700" t="s">
        <v>580</v>
      </c>
      <c r="D93" s="700" t="s">
        <v>581</v>
      </c>
      <c r="E93" s="700" t="s">
        <v>582</v>
      </c>
      <c r="F93" s="700" t="s">
        <v>583</v>
      </c>
      <c r="G93" s="700" t="s">
        <v>584</v>
      </c>
      <c r="H93" s="710"/>
      <c r="I93" s="710"/>
      <c r="J93" s="710"/>
      <c r="K93" s="710"/>
      <c r="L93" s="711"/>
      <c r="M93" s="712"/>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4"/>
      <c r="B94" s="675"/>
      <c r="C94" s="676">
        <v>100</v>
      </c>
      <c r="D94" s="676">
        <f>C94-$K25</f>
        <v>100</v>
      </c>
      <c r="E94" s="676">
        <f>D94-$K25</f>
        <v>100</v>
      </c>
      <c r="F94" s="676">
        <f>E94-$K25</f>
        <v>100</v>
      </c>
      <c r="G94" s="676">
        <f>F94-$K25</f>
        <v>100</v>
      </c>
      <c r="H94" s="713"/>
      <c r="I94" s="713"/>
      <c r="J94" s="713"/>
      <c r="K94" s="713"/>
      <c r="L94" s="713"/>
      <c r="M94" s="714"/>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4"/>
      <c r="B95" s="2619" t="s">
        <v>2557</v>
      </c>
      <c r="C95" s="2620" t="s">
        <v>2558</v>
      </c>
      <c r="D95" s="2620" t="s">
        <v>2559</v>
      </c>
      <c r="E95" s="2620" t="s">
        <v>2560</v>
      </c>
      <c r="F95" s="2620" t="s">
        <v>2561</v>
      </c>
      <c r="G95" s="2620" t="s">
        <v>2562</v>
      </c>
      <c r="H95" s="710"/>
      <c r="I95" s="710"/>
      <c r="J95" s="710"/>
      <c r="K95" s="710"/>
      <c r="L95" s="710"/>
      <c r="M95" s="712"/>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4"/>
      <c r="B96" s="678"/>
      <c r="C96" s="676">
        <v>100</v>
      </c>
      <c r="D96" s="676">
        <f>C96-$K27</f>
        <v>100</v>
      </c>
      <c r="E96" s="676">
        <f>D96-$K27</f>
        <v>100</v>
      </c>
      <c r="F96" s="676">
        <f>E96-$K27</f>
        <v>100</v>
      </c>
      <c r="G96" s="676">
        <f>F96-$K27</f>
        <v>100</v>
      </c>
      <c r="H96" s="680"/>
      <c r="I96" s="680"/>
      <c r="J96" s="680"/>
      <c r="K96" s="680"/>
      <c r="L96" s="680"/>
      <c r="M96" s="2612"/>
      <c r="N96" s="2165"/>
      <c r="O96" s="2165"/>
      <c r="P96" s="2166"/>
      <c r="Q96" s="2167"/>
      <c r="R96" s="2168"/>
      <c r="S96" s="2168"/>
      <c r="T96" s="2168"/>
      <c r="U96" s="2168"/>
      <c r="V96" s="2168"/>
      <c r="W96" s="2168"/>
      <c r="X96" s="2168"/>
      <c r="Y96" s="2168"/>
      <c r="Z96" s="2168"/>
      <c r="AA96" s="2168"/>
      <c r="AB96" s="2168"/>
      <c r="AC96" s="2168"/>
    </row>
    <row r="97" spans="1:29" ht="15.75" thickTop="1">
      <c r="A97" s="666"/>
      <c r="B97" s="670" t="str">
        <f>B29</f>
        <v>临街状况</v>
      </c>
      <c r="C97" s="671" t="s">
        <v>590</v>
      </c>
      <c r="D97" s="671" t="s">
        <v>591</v>
      </c>
      <c r="E97" s="671" t="s">
        <v>592</v>
      </c>
      <c r="F97" s="671" t="s">
        <v>593</v>
      </c>
      <c r="G97" s="671"/>
      <c r="H97" s="671"/>
      <c r="I97" s="671"/>
      <c r="J97" s="671"/>
      <c r="K97" s="672"/>
      <c r="L97" s="673"/>
      <c r="M97" s="674"/>
      <c r="N97" s="2162"/>
      <c r="O97" s="2162"/>
      <c r="P97" s="2163"/>
      <c r="Q97" s="2156"/>
      <c r="R97" s="2143"/>
      <c r="S97" s="2143"/>
      <c r="T97" s="2143"/>
      <c r="U97" s="2143"/>
      <c r="V97" s="2143"/>
      <c r="W97" s="2143"/>
      <c r="X97" s="2143"/>
      <c r="Y97" s="2143"/>
      <c r="Z97" s="2143"/>
      <c r="AA97" s="2143"/>
      <c r="AB97" s="2143"/>
      <c r="AC97" s="2143"/>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6"/>
      <c r="B99" s="670" t="s">
        <v>549</v>
      </c>
      <c r="C99" s="685"/>
      <c r="D99" s="685"/>
      <c r="E99" s="685"/>
      <c r="F99" s="685"/>
      <c r="G99" s="685"/>
      <c r="H99" s="715"/>
      <c r="I99" s="715"/>
      <c r="J99" s="715"/>
      <c r="K99" s="716"/>
      <c r="L99" s="717"/>
      <c r="M99" s="718"/>
      <c r="N99" s="2162"/>
      <c r="O99" s="2162"/>
      <c r="P99" s="2163"/>
      <c r="Q99" s="2156"/>
      <c r="R99" s="2143"/>
      <c r="S99" s="2143"/>
      <c r="T99" s="2143"/>
      <c r="U99" s="2143"/>
      <c r="V99" s="2143"/>
      <c r="W99" s="2143"/>
      <c r="X99" s="2143"/>
      <c r="Y99" s="2143"/>
      <c r="Z99" s="2143"/>
      <c r="AA99" s="2143"/>
      <c r="AB99" s="2143"/>
      <c r="AC99" s="2143"/>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6"/>
      <c r="B101" s="670" t="s">
        <v>550</v>
      </c>
      <c r="C101" s="715"/>
      <c r="D101" s="715"/>
      <c r="E101" s="715"/>
      <c r="F101" s="715"/>
      <c r="G101" s="715"/>
      <c r="H101" s="715"/>
      <c r="I101" s="715"/>
      <c r="J101" s="715"/>
      <c r="K101" s="716"/>
      <c r="L101" s="717"/>
      <c r="M101" s="71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6"/>
      <c r="B103" s="678">
        <f>B33</f>
        <v>111</v>
      </c>
      <c r="C103" s="685"/>
      <c r="D103" s="685"/>
      <c r="E103" s="685"/>
      <c r="F103" s="685"/>
      <c r="G103" s="719"/>
      <c r="H103" s="719"/>
      <c r="I103" s="719"/>
      <c r="J103" s="719"/>
      <c r="K103" s="720"/>
      <c r="L103" s="721"/>
      <c r="M103" s="722"/>
      <c r="N103" s="2162"/>
      <c r="O103" s="2162"/>
      <c r="P103" s="2163"/>
      <c r="Q103" s="2156"/>
      <c r="R103" s="2143"/>
      <c r="S103" s="2143"/>
      <c r="T103" s="2143"/>
      <c r="U103" s="2143"/>
      <c r="V103" s="2143"/>
      <c r="W103" s="2143"/>
      <c r="X103" s="2143"/>
      <c r="Y103" s="2143"/>
      <c r="Z103" s="2143"/>
      <c r="AA103" s="2143"/>
      <c r="AB103" s="2143"/>
      <c r="AC103" s="2143"/>
    </row>
    <row r="104" spans="1:29" ht="15.75" thickBot="1">
      <c r="A104" s="666"/>
      <c r="B104" s="696"/>
      <c r="C104" s="689"/>
      <c r="D104" s="668"/>
      <c r="E104" s="668"/>
      <c r="F104" s="668"/>
      <c r="G104" s="723"/>
      <c r="H104" s="723"/>
      <c r="I104" s="723"/>
      <c r="J104" s="723"/>
      <c r="K104" s="723"/>
      <c r="L104" s="723"/>
      <c r="M104" s="724"/>
      <c r="N104" s="2164"/>
      <c r="O104" s="2164"/>
      <c r="P104" s="2163"/>
      <c r="Q104" s="2156"/>
      <c r="R104" s="2143"/>
      <c r="S104" s="2143"/>
      <c r="T104" s="2143"/>
      <c r="U104" s="2143"/>
      <c r="V104" s="2143"/>
      <c r="W104" s="2143"/>
      <c r="X104" s="2143"/>
      <c r="Y104" s="2143"/>
      <c r="Z104" s="2143"/>
      <c r="AA104" s="2143"/>
      <c r="AB104" s="2143"/>
      <c r="AC104" s="2143"/>
    </row>
    <row r="105" spans="1:29" ht="15" thickTop="1">
      <c r="A105" s="584"/>
      <c r="B105" s="670">
        <f>B34</f>
        <v>111</v>
      </c>
      <c r="C105" s="685"/>
      <c r="D105" s="685"/>
      <c r="E105" s="685"/>
      <c r="F105" s="68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89"/>
      <c r="D106" s="689"/>
      <c r="E106" s="689"/>
      <c r="F106" s="689"/>
      <c r="G106" s="668"/>
      <c r="H106" s="668"/>
      <c r="I106" s="668"/>
      <c r="J106" s="668"/>
      <c r="K106" s="668"/>
      <c r="L106" s="668"/>
      <c r="M106" s="669"/>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5"/>
      <c r="B107" s="726">
        <f>B35</f>
        <v>111</v>
      </c>
      <c r="C107" s="658"/>
      <c r="D107" s="658"/>
      <c r="E107" s="658"/>
      <c r="F107" s="658"/>
      <c r="G107" s="727"/>
      <c r="H107" s="727"/>
      <c r="I107" s="727"/>
      <c r="J107" s="728"/>
      <c r="K107" s="728"/>
      <c r="L107" s="729"/>
      <c r="M107" s="730"/>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4"/>
      <c r="B108" s="678"/>
      <c r="C108" s="697"/>
      <c r="D108" s="697"/>
      <c r="E108" s="697"/>
      <c r="F108" s="697"/>
      <c r="G108" s="589"/>
      <c r="H108" s="589"/>
      <c r="I108" s="589"/>
      <c r="J108" s="589"/>
      <c r="K108" s="589"/>
      <c r="L108" s="589"/>
      <c r="M108" s="731"/>
      <c r="N108" s="2164"/>
      <c r="O108" s="2164"/>
      <c r="P108" s="2166"/>
      <c r="Q108" s="2167"/>
      <c r="R108" s="2168"/>
      <c r="S108" s="2168"/>
      <c r="T108" s="2168"/>
      <c r="U108" s="2168"/>
      <c r="V108" s="2168"/>
      <c r="W108" s="2168"/>
      <c r="X108" s="2168"/>
      <c r="Y108" s="2168"/>
      <c r="Z108" s="2168"/>
      <c r="AA108" s="2168"/>
      <c r="AB108" s="2168"/>
      <c r="AC108" s="2168"/>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6" t="str">
        <f t="shared" si="25"/>
        <v>(含)-</v>
      </c>
      <c r="L109" s="3117" t="str">
        <f t="shared" si="25"/>
        <v>(含)-</v>
      </c>
      <c r="M109" s="3118"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6"/>
      <c r="B110" s="678"/>
      <c r="C110" s="727"/>
      <c r="D110" s="727"/>
      <c r="E110" s="727"/>
      <c r="F110" s="727"/>
      <c r="G110" s="727"/>
      <c r="H110" s="727"/>
      <c r="I110" s="727"/>
      <c r="J110" s="728"/>
      <c r="K110" s="728"/>
      <c r="L110" s="729"/>
      <c r="M110" s="730"/>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97"/>
      <c r="D111" s="723"/>
      <c r="E111" s="723"/>
      <c r="F111" s="723"/>
      <c r="G111" s="723"/>
      <c r="H111" s="723"/>
      <c r="I111" s="723"/>
      <c r="J111" s="723"/>
      <c r="K111" s="723"/>
      <c r="L111" s="723"/>
      <c r="M111" s="724"/>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0" t="s">
        <v>595</v>
      </c>
      <c r="C112" s="715"/>
      <c r="D112" s="715"/>
      <c r="E112" s="715"/>
      <c r="F112" s="715"/>
      <c r="G112" s="715"/>
      <c r="H112" s="715"/>
      <c r="I112" s="715"/>
      <c r="J112" s="715"/>
      <c r="K112" s="716"/>
      <c r="L112" s="717"/>
      <c r="M112" s="718"/>
      <c r="N112" s="2162"/>
      <c r="O112" s="2162"/>
      <c r="P112" s="2163"/>
      <c r="Q112" s="2156"/>
      <c r="R112" s="2143"/>
      <c r="S112" s="2143"/>
      <c r="T112" s="2143"/>
      <c r="U112" s="2143"/>
      <c r="V112" s="2143"/>
      <c r="W112" s="2143"/>
      <c r="X112" s="2143"/>
      <c r="Y112" s="2143"/>
      <c r="Z112" s="2143"/>
      <c r="AA112" s="2143"/>
      <c r="AB112" s="2143"/>
      <c r="AC112" s="2143"/>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5"/>
      <c r="B114" s="1894" t="s">
        <v>2430</v>
      </c>
      <c r="C114" s="1372"/>
      <c r="D114" s="1372"/>
      <c r="E114" s="1372"/>
      <c r="F114" s="1372"/>
      <c r="G114" s="1372"/>
      <c r="H114" s="715"/>
      <c r="I114" s="715"/>
      <c r="J114" s="715"/>
      <c r="K114" s="716"/>
      <c r="L114" s="717"/>
      <c r="M114" s="718"/>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2"/>
      <c r="B116" s="670" t="s">
        <v>597</v>
      </c>
      <c r="C116" s="685"/>
      <c r="D116" s="685"/>
      <c r="E116" s="715"/>
      <c r="F116" s="715"/>
      <c r="G116" s="71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f>B40</f>
        <v>111</v>
      </c>
      <c r="C118" s="685"/>
      <c r="D118" s="685"/>
      <c r="E118" s="685"/>
      <c r="F118" s="685"/>
      <c r="G118" s="68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ht="15" thickTop="1">
      <c r="A120" s="732"/>
      <c r="B120" s="670">
        <f>B41</f>
        <v>111</v>
      </c>
      <c r="C120" s="685"/>
      <c r="D120" s="685"/>
      <c r="E120" s="685"/>
      <c r="F120" s="685"/>
      <c r="G120" s="715"/>
      <c r="H120" s="715"/>
      <c r="I120" s="715"/>
      <c r="J120" s="715"/>
      <c r="K120" s="716"/>
      <c r="L120" s="717"/>
      <c r="M120" s="718"/>
      <c r="N120" s="2162"/>
      <c r="O120" s="2162"/>
      <c r="P120" s="2163"/>
      <c r="Q120" s="2156"/>
      <c r="R120" s="2143"/>
      <c r="S120" s="2143"/>
      <c r="T120" s="2143"/>
      <c r="U120" s="2143"/>
      <c r="V120" s="2143"/>
      <c r="W120" s="2143"/>
      <c r="X120" s="2143"/>
      <c r="Y120" s="2143"/>
      <c r="Z120" s="2143"/>
      <c r="AA120" s="2143"/>
      <c r="AB120" s="2143"/>
      <c r="AC120" s="2143"/>
    </row>
    <row r="121" spans="1:29" ht="15.75" thickBot="1">
      <c r="A121" s="666"/>
      <c r="B121" s="675"/>
      <c r="C121" s="689"/>
      <c r="D121" s="689"/>
      <c r="E121" s="689"/>
      <c r="F121" s="689"/>
      <c r="G121" s="668"/>
      <c r="H121" s="668"/>
      <c r="I121" s="668"/>
      <c r="J121" s="668"/>
      <c r="K121" s="668"/>
      <c r="L121" s="668"/>
      <c r="M121" s="669"/>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5"/>
      <c r="B122" s="670">
        <f>B42</f>
        <v>111</v>
      </c>
      <c r="C122" s="658"/>
      <c r="D122" s="658"/>
      <c r="E122" s="658"/>
      <c r="F122" s="658"/>
      <c r="G122" s="686"/>
      <c r="H122" s="686"/>
      <c r="I122" s="686"/>
      <c r="J122" s="686"/>
      <c r="K122" s="686"/>
      <c r="L122" s="687"/>
      <c r="M122" s="688"/>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5"/>
      <c r="B123" s="733"/>
      <c r="C123" s="697"/>
      <c r="D123" s="697"/>
      <c r="E123" s="697"/>
      <c r="F123" s="697"/>
      <c r="G123" s="723"/>
      <c r="H123" s="723"/>
      <c r="I123" s="723"/>
      <c r="J123" s="723"/>
      <c r="K123" s="723"/>
      <c r="L123" s="723"/>
      <c r="M123" s="724"/>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2431</v>
      </c>
      <c r="D1" s="1518">
        <f>SUM(D29:D30,D33:D39)</f>
        <v>0</v>
      </c>
      <c r="E1" s="1403" t="s">
        <v>2432</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9" t="s">
        <v>2771</v>
      </c>
      <c r="S1" s="2959" t="s">
        <v>2772</v>
      </c>
      <c r="T1" s="2959" t="s">
        <v>2793</v>
      </c>
      <c r="U1" s="2959" t="s">
        <v>2794</v>
      </c>
      <c r="V1" s="2959" t="s">
        <v>2795</v>
      </c>
      <c r="W1" s="2187"/>
      <c r="X1" s="2187"/>
      <c r="Y1" s="2187"/>
      <c r="Z1" s="2187"/>
      <c r="AA1" s="2187"/>
      <c r="AB1" s="2187"/>
      <c r="AC1" s="2188"/>
    </row>
    <row r="2" spans="1:39" ht="15.75">
      <c r="A2" s="1403" t="s">
        <v>921</v>
      </c>
      <c r="B2" s="1034"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7"/>
      <c r="X2" s="2187"/>
      <c r="Y2" s="2187"/>
      <c r="Z2" s="2187"/>
      <c r="AA2" s="2187"/>
      <c r="AB2" s="2187"/>
      <c r="AC2" s="2188"/>
    </row>
    <row r="3" spans="1:39" ht="15.75">
      <c r="A3" s="1408" t="s">
        <v>1689</v>
      </c>
      <c r="B3" s="1034" t="e">
        <f>ROUND(B2*10000/D1,0)</f>
        <v>#DIV/0!</v>
      </c>
      <c r="C3" s="1404" t="s">
        <v>928</v>
      </c>
      <c r="D3" s="1405" t="s">
        <v>929</v>
      </c>
      <c r="E3" s="1409"/>
      <c r="F3" s="1410" t="s">
        <v>2947</v>
      </c>
      <c r="G3" s="1035">
        <f>IF(F3="宗地容积率",'数据-汇总表'!I4,IF(F3="估价对象容积率",'数据-汇总表'!I6,'数据-汇总表'!I7))</f>
        <v>3.65</v>
      </c>
      <c r="H3" s="1411" t="s">
        <v>930</v>
      </c>
      <c r="I3" s="1036">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60">
        <v>3</v>
      </c>
      <c r="S4" s="2960">
        <f>ROUND(IF(G3&gt;1,IF(R4&lt;7,SUMPRODUCT((B93:B98=R4)*(C92:N92=G2)*(C93:N98)),SUMIF(C92:N92,G2,C100:N100)),IF(R4&lt;7,SUMPRODUCT((B102:B107=R4)*(C92:N92=G2)*(C102:N107)),SUMIF(C92:N92,G2,C109:N109))),4)</f>
        <v>0</v>
      </c>
      <c r="T4" s="2960" t="e">
        <f t="shared" si="0"/>
        <v>#DIV/0!</v>
      </c>
      <c r="U4" s="2949"/>
      <c r="V4" s="2960" t="e">
        <f t="shared" si="1"/>
        <v>#DIV/0!</v>
      </c>
      <c r="W4" s="2187"/>
      <c r="X4" s="2187"/>
      <c r="Y4" s="2187"/>
      <c r="Z4" s="2187"/>
      <c r="AA4" s="2187"/>
      <c r="AB4" s="2187"/>
      <c r="AC4" s="2188"/>
    </row>
    <row r="5" spans="1:39" s="1418" customFormat="1" ht="15.75" thickBot="1">
      <c r="A5" s="1635" t="s">
        <v>1825</v>
      </c>
      <c r="B5" s="1412" t="s">
        <v>932</v>
      </c>
      <c r="C5" s="1037" t="e">
        <f>ROUND(IF(E2="商业",IF(F16="增加",C6*C7+C16,C6*C7-C16),IF(E2="住宅",IF(F16="增加",C6*C12+C16,C6*C12-C16),IF(F16="增加",C6+C16,C6-C16))),0)</f>
        <v>#DIV/0!</v>
      </c>
      <c r="D5" s="3148">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60">
        <v>4</v>
      </c>
      <c r="S5" s="2960">
        <f>ROUND(IF(G3&gt;1,IF(R5&lt;7,SUMPRODUCT((B93:B98=R5)*(C92:N92=G2)*(C93:N98)),SUMIF(C92:N92,G2,C100:N100)),IF(R5&lt;7,SUMPRODUCT((B102:B107=R5)*(C92:N92=G2)*(C102:N107)),SUMIF(C92:N92,G2,C109:N109))),4)</f>
        <v>0</v>
      </c>
      <c r="T5" s="2960" t="e">
        <f t="shared" si="0"/>
        <v>#DIV/0!</v>
      </c>
      <c r="U5" s="2949"/>
      <c r="V5" s="2960"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8">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60">
        <v>5</v>
      </c>
      <c r="S6" s="2960">
        <f>ROUND(IF(G3&gt;1,IF(R6&lt;7,SUMPRODUCT((B93:B98=R6)*(C92:N92=G2)*(C93:N98)),SUMIF(C92:N92,G2,C100:N100)),IF(R6&lt;7,SUMPRODUCT((B102:B107=R6)*(C92:N92=G2)*(C102:N107)),SUMIF(C92:N92,G2,C109:N109))),4)</f>
        <v>0</v>
      </c>
      <c r="T6" s="2960" t="e">
        <f t="shared" si="0"/>
        <v>#DIV/0!</v>
      </c>
      <c r="U6" s="2949"/>
      <c r="V6" s="2960" t="e">
        <f t="shared" si="1"/>
        <v>#DIV/0!</v>
      </c>
      <c r="W6" s="2187"/>
      <c r="X6" s="2187"/>
      <c r="Y6" s="2187"/>
      <c r="Z6" s="2187"/>
      <c r="AA6" s="2187"/>
      <c r="AB6" s="2187"/>
      <c r="AC6" s="2189"/>
      <c r="AD6" s="1416"/>
      <c r="AE6" s="1416"/>
      <c r="AF6" s="1416"/>
      <c r="AG6" s="1416"/>
      <c r="AH6" s="1416"/>
      <c r="AI6" s="1416"/>
      <c r="AJ6" s="1417"/>
    </row>
    <row r="7" spans="1:39" ht="24">
      <c r="A7" s="3423" t="str">
        <f>IF(E2="商业",IF(C8="不临58条商业街","",2),"")</f>
        <v/>
      </c>
      <c r="B7" s="1424" t="s">
        <v>933</v>
      </c>
      <c r="C7" s="1039" t="e">
        <f>IF(C8="不临58条商业街",1,ROUND(1+(1.6*E8+1.2*E9+0.8*E10+0.4*E11)*C9,4))</f>
        <v>#DIV/0!</v>
      </c>
      <c r="D7" s="1425" t="s">
        <v>934</v>
      </c>
      <c r="E7" s="1040"/>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2774</v>
      </c>
      <c r="X7" s="2950">
        <f>G2</f>
        <v>0</v>
      </c>
      <c r="Y7" s="2950" t="s">
        <v>2775</v>
      </c>
      <c r="Z7" s="2951">
        <f>G3</f>
        <v>3.65</v>
      </c>
      <c r="AA7" s="2190"/>
      <c r="AB7" s="2190"/>
      <c r="AC7" s="2191"/>
      <c r="AD7" s="2952"/>
      <c r="AE7" s="2952"/>
      <c r="AF7" s="2952"/>
      <c r="AG7" s="2952"/>
      <c r="AH7" s="2952"/>
      <c r="AI7" s="2952"/>
      <c r="AJ7" s="2953"/>
    </row>
    <row r="8" spans="1:39" ht="15">
      <c r="A8" s="3424"/>
      <c r="B8" s="1411" t="s">
        <v>935</v>
      </c>
      <c r="C8" s="1526"/>
      <c r="D8" s="1041" t="s">
        <v>936</v>
      </c>
      <c r="E8" s="1042"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60">
        <v>7</v>
      </c>
      <c r="S8" s="2949"/>
      <c r="T8" s="2960" t="e">
        <f t="shared" si="0"/>
        <v>#DIV/0!</v>
      </c>
      <c r="U8" s="2949"/>
      <c r="V8" s="2960" t="e">
        <f t="shared" si="1"/>
        <v>#DIV/0!</v>
      </c>
      <c r="W8" s="3433" t="s">
        <v>2792</v>
      </c>
      <c r="X8" s="3434"/>
      <c r="Y8" s="1847" t="s">
        <v>2776</v>
      </c>
      <c r="Z8" s="1847" t="s">
        <v>2777</v>
      </c>
      <c r="AA8" s="1847" t="s">
        <v>2778</v>
      </c>
      <c r="AB8" s="1847" t="s">
        <v>2779</v>
      </c>
      <c r="AC8" s="1847" t="s">
        <v>2780</v>
      </c>
      <c r="AD8" s="1847" t="s">
        <v>2781</v>
      </c>
      <c r="AE8" s="1847" t="s">
        <v>2782</v>
      </c>
      <c r="AF8" s="1847" t="s">
        <v>2783</v>
      </c>
      <c r="AG8" s="1847" t="s">
        <v>2784</v>
      </c>
      <c r="AH8" s="1847" t="s">
        <v>2785</v>
      </c>
      <c r="AI8" s="1847" t="s">
        <v>2786</v>
      </c>
      <c r="AJ8" s="1847" t="s">
        <v>2787</v>
      </c>
    </row>
    <row r="9" spans="1:39" ht="15">
      <c r="A9" s="3424"/>
      <c r="B9" s="1411" t="s">
        <v>938</v>
      </c>
      <c r="C9" s="1043">
        <f>SUMIF(修正!C59:C119,C8,修正!E59:E119)</f>
        <v>0</v>
      </c>
      <c r="D9" s="1044" t="s">
        <v>939</v>
      </c>
      <c r="E9" s="1044"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60">
        <v>8</v>
      </c>
      <c r="S9" s="2949"/>
      <c r="T9" s="2960" t="e">
        <f t="shared" si="0"/>
        <v>#DIV/0!</v>
      </c>
      <c r="U9" s="2949"/>
      <c r="V9" s="2960" t="e">
        <f t="shared" si="1"/>
        <v>#DIV/0!</v>
      </c>
      <c r="W9" s="3432" t="s">
        <v>2788</v>
      </c>
      <c r="X9" s="2954" t="s">
        <v>2789</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24"/>
      <c r="B10" s="1411" t="s">
        <v>941</v>
      </c>
      <c r="C10" s="1044">
        <f>SUMIF(修正!C59:C119,C8,修正!F59:F119)</f>
        <v>0</v>
      </c>
      <c r="D10" s="1044" t="s">
        <v>942</v>
      </c>
      <c r="E10" s="1044"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60">
        <v>9</v>
      </c>
      <c r="S10" s="2949"/>
      <c r="T10" s="2960" t="e">
        <f t="shared" si="0"/>
        <v>#DIV/0!</v>
      </c>
      <c r="U10" s="2949"/>
      <c r="V10" s="2960" t="e">
        <f t="shared" si="1"/>
        <v>#DIV/0!</v>
      </c>
      <c r="W10" s="3432"/>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24"/>
      <c r="B11" s="1432" t="s">
        <v>944</v>
      </c>
      <c r="C11" s="1045">
        <f>C10/4</f>
        <v>0</v>
      </c>
      <c r="D11" s="1045" t="s">
        <v>945</v>
      </c>
      <c r="E11" s="1045"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60">
        <v>10</v>
      </c>
      <c r="S11" s="2949"/>
      <c r="T11" s="2960" t="e">
        <f t="shared" si="0"/>
        <v>#DIV/0!</v>
      </c>
      <c r="U11" s="2949"/>
      <c r="V11" s="2960" t="e">
        <f t="shared" si="1"/>
        <v>#DIV/0!</v>
      </c>
      <c r="W11" s="3432" t="s">
        <v>2790</v>
      </c>
      <c r="X11" s="1044" t="s">
        <v>2775</v>
      </c>
      <c r="Y11" s="1650">
        <f>$G$3</f>
        <v>3.65</v>
      </c>
      <c r="Z11" s="1650">
        <f t="shared" ref="Z11:AJ11" si="3">$G$3</f>
        <v>3.65</v>
      </c>
      <c r="AA11" s="1650">
        <f t="shared" si="3"/>
        <v>3.65</v>
      </c>
      <c r="AB11" s="1650">
        <f t="shared" si="3"/>
        <v>3.65</v>
      </c>
      <c r="AC11" s="1650">
        <f t="shared" si="3"/>
        <v>3.65</v>
      </c>
      <c r="AD11" s="1650">
        <f t="shared" si="3"/>
        <v>3.65</v>
      </c>
      <c r="AE11" s="1650">
        <f t="shared" si="3"/>
        <v>3.65</v>
      </c>
      <c r="AF11" s="1650">
        <f t="shared" si="3"/>
        <v>3.65</v>
      </c>
      <c r="AG11" s="1650">
        <f t="shared" si="3"/>
        <v>3.65</v>
      </c>
      <c r="AH11" s="1650">
        <f t="shared" si="3"/>
        <v>3.65</v>
      </c>
      <c r="AI11" s="1650">
        <f t="shared" si="3"/>
        <v>3.65</v>
      </c>
      <c r="AJ11" s="1650">
        <f t="shared" si="3"/>
        <v>3.65</v>
      </c>
    </row>
    <row r="12" spans="1:39" ht="25.5" thickBot="1">
      <c r="A12" s="3423" t="s">
        <v>1873</v>
      </c>
      <c r="B12" s="1436" t="s">
        <v>947</v>
      </c>
      <c r="C12" s="1039">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60">
        <v>11</v>
      </c>
      <c r="S12" s="2949"/>
      <c r="T12" s="2960" t="e">
        <f t="shared" si="0"/>
        <v>#DIV/0!</v>
      </c>
      <c r="U12" s="2949"/>
      <c r="V12" s="2960" t="e">
        <f t="shared" si="1"/>
        <v>#DIV/0!</v>
      </c>
      <c r="W12" s="3432"/>
      <c r="X12" s="2957" t="s">
        <v>2791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25"/>
      <c r="B13" s="1441" t="s">
        <v>1698</v>
      </c>
      <c r="C13" s="1442" t="s">
        <v>1699</v>
      </c>
      <c r="D13" s="1085" t="s">
        <v>1700</v>
      </c>
      <c r="E13" s="1085" t="s">
        <v>1701</v>
      </c>
      <c r="F13" s="1443" t="s">
        <v>949</v>
      </c>
      <c r="G13" s="1444" t="s">
        <v>1644</v>
      </c>
      <c r="H13" s="1445" t="s">
        <v>1644</v>
      </c>
      <c r="I13" s="1446" t="s">
        <v>1644</v>
      </c>
      <c r="J13" s="1447" t="s">
        <v>1644</v>
      </c>
      <c r="K13" s="1398"/>
      <c r="L13" s="2187"/>
      <c r="M13" s="2187"/>
      <c r="N13" s="2187"/>
      <c r="O13" s="2187"/>
      <c r="P13" s="2187"/>
      <c r="Q13" s="2187"/>
      <c r="R13" s="2960">
        <v>12</v>
      </c>
      <c r="S13" s="2949"/>
      <c r="T13" s="2960" t="e">
        <f t="shared" si="0"/>
        <v>#DIV/0!</v>
      </c>
      <c r="U13" s="2949"/>
      <c r="V13" s="2960" t="e">
        <f t="shared" si="1"/>
        <v>#DIV/0!</v>
      </c>
      <c r="W13" s="3432"/>
      <c r="X13" s="2957"/>
      <c r="Y13" s="2956">
        <f>(-0.163*(Y12^2)-0.59*Y12+7617)*(10^(-4))/Y11</f>
        <v>0.20868493150684933</v>
      </c>
      <c r="Z13" s="2956">
        <f t="shared" ref="Z13:AJ13" si="5">(-0.163*(Z12^2)-0.59*Z12+7617)*(10^(-4))/Z11</f>
        <v>0.20868493150684933</v>
      </c>
      <c r="AA13" s="2956">
        <f t="shared" si="5"/>
        <v>0.20868493150684933</v>
      </c>
      <c r="AB13" s="2956">
        <f t="shared" si="5"/>
        <v>0.20868493150684933</v>
      </c>
      <c r="AC13" s="2956">
        <f t="shared" si="5"/>
        <v>0.20868493150684933</v>
      </c>
      <c r="AD13" s="2956">
        <f t="shared" si="5"/>
        <v>0.20868493150684933</v>
      </c>
      <c r="AE13" s="2956">
        <f t="shared" si="5"/>
        <v>0.20868493150684933</v>
      </c>
      <c r="AF13" s="2956">
        <f t="shared" si="5"/>
        <v>0.20868493150684933</v>
      </c>
      <c r="AG13" s="2956">
        <f t="shared" si="5"/>
        <v>0.20868493150684933</v>
      </c>
      <c r="AH13" s="2956">
        <f t="shared" si="5"/>
        <v>0.20868493150684933</v>
      </c>
      <c r="AI13" s="2956">
        <f t="shared" si="5"/>
        <v>0.20868493150684933</v>
      </c>
      <c r="AJ13" s="2956">
        <f t="shared" si="5"/>
        <v>0.20868493150684933</v>
      </c>
    </row>
    <row r="14" spans="1:39" ht="12.75" customHeight="1" thickBot="1">
      <c r="A14" s="3425"/>
      <c r="B14" s="1448"/>
      <c r="C14" s="1449"/>
      <c r="D14" s="1450"/>
      <c r="E14" s="1450"/>
      <c r="F14" s="1451"/>
      <c r="G14" s="1452" t="s">
        <v>950</v>
      </c>
      <c r="H14" s="1453"/>
      <c r="I14" s="1454"/>
      <c r="J14" s="1455"/>
      <c r="K14" s="1398"/>
      <c r="L14" s="2187"/>
      <c r="M14" s="2187"/>
      <c r="N14" s="2187"/>
      <c r="O14" s="2187"/>
      <c r="P14" s="2187"/>
      <c r="Q14" s="2187"/>
      <c r="R14" s="2960">
        <v>13</v>
      </c>
      <c r="S14" s="2949"/>
      <c r="T14" s="2960" t="e">
        <f t="shared" si="0"/>
        <v>#DIV/0!</v>
      </c>
      <c r="U14" s="2949"/>
      <c r="V14" s="2960" t="e">
        <f t="shared" si="1"/>
        <v>#DIV/0!</v>
      </c>
      <c r="W14" s="2187"/>
      <c r="X14" s="2187"/>
      <c r="Y14" s="2187"/>
      <c r="Z14" s="2187"/>
      <c r="AA14" s="2187"/>
      <c r="AB14" s="2187"/>
      <c r="AC14" s="2188"/>
    </row>
    <row r="15" spans="1:39" ht="13.5" customHeight="1" thickBot="1">
      <c r="A15" s="3426"/>
      <c r="B15" s="1456" t="s">
        <v>1702</v>
      </c>
      <c r="C15" s="1047">
        <f>IF(C14="有",1.1,1)</f>
        <v>1</v>
      </c>
      <c r="D15" s="1047">
        <f>IF(D14="有",1.1,1)</f>
        <v>1</v>
      </c>
      <c r="E15" s="1047">
        <f>IF(E14="有",1.1,1)</f>
        <v>1</v>
      </c>
      <c r="F15" s="1047">
        <f>IF(F14="500米范围内",1.2,IF(F14="500-1000米",1.1,1))</f>
        <v>1</v>
      </c>
      <c r="G15" s="1048">
        <v>1</v>
      </c>
      <c r="H15" s="1048">
        <v>1</v>
      </c>
      <c r="I15" s="1048">
        <v>1</v>
      </c>
      <c r="J15" s="1049">
        <v>1</v>
      </c>
      <c r="K15" s="1398"/>
      <c r="L15" s="1595" t="s">
        <v>899</v>
      </c>
      <c r="M15" s="1425" t="s">
        <v>985</v>
      </c>
      <c r="N15" s="1425" t="s">
        <v>986</v>
      </c>
      <c r="O15" s="1425" t="s">
        <v>903</v>
      </c>
      <c r="P15" s="1473" t="s">
        <v>987</v>
      </c>
      <c r="Q15" s="2187"/>
      <c r="R15" s="2960">
        <v>14</v>
      </c>
      <c r="S15" s="2949"/>
      <c r="T15" s="2960" t="e">
        <f t="shared" si="0"/>
        <v>#DIV/0!</v>
      </c>
      <c r="U15" s="2949"/>
      <c r="V15" s="2960" t="e">
        <f t="shared" si="1"/>
        <v>#DIV/0!</v>
      </c>
      <c r="W15" s="2187"/>
      <c r="X15" s="2187"/>
      <c r="Y15" s="2187"/>
      <c r="Z15" s="2187"/>
      <c r="AA15" s="2187"/>
      <c r="AB15" s="2187"/>
      <c r="AC15" s="2188"/>
    </row>
    <row r="16" spans="1:39" ht="24">
      <c r="A16" s="3423" t="s">
        <v>1840</v>
      </c>
      <c r="B16" s="1424" t="s">
        <v>951</v>
      </c>
      <c r="C16" s="1050" t="e">
        <f>ROUND(SUM(G17:J17)/C17,0)</f>
        <v>#DIV/0!</v>
      </c>
      <c r="D16" s="1457" t="s">
        <v>952</v>
      </c>
      <c r="E16" s="1458"/>
      <c r="F16" s="1459"/>
      <c r="G16" s="1460"/>
      <c r="H16" s="1460"/>
      <c r="I16" s="1460"/>
      <c r="J16" s="1460"/>
      <c r="K16" s="1398"/>
      <c r="L16" s="1461" t="s">
        <v>989</v>
      </c>
      <c r="M16" s="1043">
        <v>0.25</v>
      </c>
      <c r="N16" s="1043">
        <v>0.2</v>
      </c>
      <c r="O16" s="1043">
        <v>0.15</v>
      </c>
      <c r="P16" s="1536">
        <v>0.1</v>
      </c>
      <c r="Q16" s="2190"/>
      <c r="R16" s="2960">
        <v>15</v>
      </c>
      <c r="S16" s="2949"/>
      <c r="T16" s="2960" t="e">
        <f t="shared" si="0"/>
        <v>#DIV/0!</v>
      </c>
      <c r="U16" s="2949"/>
      <c r="V16" s="2960" t="e">
        <f t="shared" si="1"/>
        <v>#DIV/0!</v>
      </c>
      <c r="W16" s="2190"/>
      <c r="X16" s="2190"/>
      <c r="Y16" s="2190"/>
      <c r="Z16" s="2190"/>
      <c r="AA16" s="2190"/>
      <c r="AB16" s="2190"/>
      <c r="AC16" s="2191"/>
    </row>
    <row r="17" spans="1:40" ht="13.5" thickBot="1">
      <c r="A17" s="3424"/>
      <c r="B17" s="1462" t="s">
        <v>954</v>
      </c>
      <c r="C17" s="1051">
        <f>SUMPRODUCT((修正!A2:A5=E2)*(修正!B1:M1=G2)*(修正!B2:M5))</f>
        <v>0</v>
      </c>
      <c r="D17" s="1464" t="s">
        <v>955</v>
      </c>
      <c r="E17" s="1465" t="str">
        <f>IF(OR(G2="八级",G2="九级",G2="十级",G2="十一级",G2="十二级"),"五通一平","七通一平")</f>
        <v>七通一平</v>
      </c>
      <c r="F17" s="1463"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6" t="s">
        <v>957</v>
      </c>
      <c r="C18" s="2797">
        <f>SUMIF(修正!C18:C39,E3,修正!E18:E39)</f>
        <v>0</v>
      </c>
      <c r="D18" s="2798"/>
      <c r="E18" s="2799"/>
      <c r="F18" s="2800"/>
      <c r="G18" s="2794"/>
      <c r="H18" s="2794"/>
      <c r="I18" s="2794"/>
      <c r="J18" s="2801"/>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3" t="e">
        <f>ROUND(IF(H19="按公示增长率计算",SUMPRODUCT((地价!A3:A20=YEAR(G19)&amp;"-"&amp;ROUNDUP(MONTH(G19)/3,0))*(地价!X2:AB2=E2)*(地价!X3:AB20)),IF(H19="地价指数",M20/M19,(1+I19)^O19)),4)</f>
        <v>#DIV/0!</v>
      </c>
      <c r="D19" s="1471" t="s">
        <v>959</v>
      </c>
      <c r="E19" s="1054">
        <v>41640</v>
      </c>
      <c r="F19" s="1471" t="s">
        <v>960</v>
      </c>
      <c r="G19" s="1055">
        <f>'数据-取费表'!B2</f>
        <v>43123</v>
      </c>
      <c r="H19" s="1472" t="s">
        <v>2948</v>
      </c>
      <c r="I19" s="2808" t="str">
        <f>IF(H19="季度增幅（自定义）",SUMIF(N21:N24,E2,O21:O24),"")</f>
        <v/>
      </c>
      <c r="J19" s="1468"/>
      <c r="K19" s="1478"/>
      <c r="L19" s="3063" t="s">
        <v>2850</v>
      </c>
      <c r="M19" s="3064">
        <f>ROUND(SUMIF(地价!B2:F2,E2,地价!B20:F20),0)</f>
        <v>0</v>
      </c>
      <c r="N19" s="2810" t="s">
        <v>1678</v>
      </c>
      <c r="O19" s="2809">
        <f>ROUNDDOWN(DATEDIF(E19,G19,"M")/3,0)</f>
        <v>16</v>
      </c>
      <c r="P19" s="1593"/>
      <c r="R19" s="2948"/>
      <c r="S19" s="2948"/>
      <c r="T19" s="2948"/>
      <c r="U19" s="2948"/>
      <c r="V19" s="2948"/>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2" t="s">
        <v>1838</v>
      </c>
      <c r="B20" s="2803" t="s">
        <v>973</v>
      </c>
      <c r="C20" s="2804" t="e">
        <f>ROUND(POWER(1+G20,J20-I20)*(POWER(1+G20,I20)-1)/(POWER(1+G20,J20)-1),4)</f>
        <v>#DIV/0!</v>
      </c>
      <c r="D20" s="2805" t="s">
        <v>974</v>
      </c>
      <c r="E20" s="3119">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78"/>
      <c r="L20" s="3065" t="s">
        <v>2851</v>
      </c>
      <c r="M20" s="3066">
        <f>ROUND(SUMPRODUCT((地价!A5:A20=YEAR(G19)&amp;"-"&amp;ROUNDUP(MONTH(G19)/3,0))*(地价!B2:F2=E2)*(地价!B5:F20)),0)</f>
        <v>0</v>
      </c>
      <c r="N20" s="2813" t="s">
        <v>2654</v>
      </c>
      <c r="O20" s="2811" t="s">
        <v>2653</v>
      </c>
      <c r="P20" s="2812" t="s">
        <v>2659</v>
      </c>
      <c r="R20" s="2948"/>
      <c r="S20" s="2948"/>
      <c r="T20" s="2948"/>
      <c r="U20" s="2948"/>
      <c r="V20" s="2948"/>
      <c r="W20" s="2193"/>
      <c r="X20" s="2193"/>
      <c r="Y20" s="2193"/>
      <c r="Z20" s="2193"/>
      <c r="AA20" s="2193"/>
      <c r="AB20" s="2193"/>
      <c r="AC20" s="2193"/>
      <c r="AD20" s="1469"/>
      <c r="AE20" s="1469"/>
      <c r="AF20" s="1469"/>
      <c r="AG20" s="1469"/>
      <c r="AH20" s="1469"/>
      <c r="AI20" s="1469"/>
    </row>
    <row r="21" spans="1:40" s="1418" customFormat="1" ht="14.25">
      <c r="A21" s="1639" t="s">
        <v>1839</v>
      </c>
      <c r="B21" s="1477" t="s">
        <v>2770</v>
      </c>
      <c r="C21" s="1154">
        <f>IF(B21="容积率修正",IF(G3&lt;=10,D22,J22),C23)</f>
        <v>0</v>
      </c>
      <c r="D21" s="1478"/>
      <c r="E21" s="1478"/>
      <c r="F21" s="1478"/>
      <c r="G21" s="1478"/>
      <c r="H21" s="1478"/>
      <c r="I21" s="1478"/>
      <c r="J21" s="1479"/>
      <c r="K21" s="1478"/>
      <c r="L21" s="1478"/>
      <c r="M21" s="1478"/>
      <c r="N21" s="1475" t="s">
        <v>977</v>
      </c>
      <c r="O21" s="1539"/>
      <c r="P21" s="2793">
        <f>SUMPRODUCT((地价!A3:A20=YEAR(G19)&amp;"-"&amp;ROUNDUP(MONTH(G19)/3,0))*(地价!AD2:AH2=N21)*(地价!AD3:AH20))</f>
        <v>0</v>
      </c>
      <c r="R21" s="2948"/>
      <c r="S21" s="2948"/>
      <c r="T21" s="2948"/>
      <c r="U21" s="2948"/>
      <c r="V21" s="2948"/>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6" t="s">
        <v>1704</v>
      </c>
      <c r="D22" s="1056">
        <f>IF(E22=G22,F22,IF(G3&lt;=10,ROUND(F22+(H22-F22)*(G3-E22)/(G22-E22),4),"——"))</f>
        <v>0</v>
      </c>
      <c r="E22" s="1035">
        <f>ROUNDDOWN(G3,1)</f>
        <v>3.6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3.7</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8"/>
      <c r="L22" s="1478"/>
      <c r="M22" s="1478"/>
      <c r="N22" s="1475" t="s">
        <v>980</v>
      </c>
      <c r="O22" s="1539"/>
      <c r="P22" s="2793">
        <f>SUMPRODUCT((地价!A3:A20=YEAR(G19)&amp;"-"&amp;ROUNDUP(MONTH(G19)/3,0))*(地价!AD2:AH2=N22)*(地价!AD3:AH20))</f>
        <v>0</v>
      </c>
      <c r="R22" s="2948"/>
      <c r="S22" s="2948"/>
      <c r="T22" s="2948"/>
      <c r="U22" s="2948"/>
      <c r="V22" s="2948"/>
      <c r="W22" s="2193"/>
      <c r="X22" s="2193"/>
      <c r="Y22" s="2193"/>
      <c r="Z22" s="2193"/>
      <c r="AA22" s="2193"/>
      <c r="AB22" s="2193"/>
      <c r="AC22" s="2193"/>
      <c r="AD22" s="1469"/>
      <c r="AE22" s="1469"/>
      <c r="AF22" s="1469"/>
      <c r="AG22" s="1469"/>
      <c r="AH22" s="1469"/>
      <c r="AI22" s="1469"/>
    </row>
    <row r="23" spans="1:40" ht="27.75" thickBot="1">
      <c r="A23" s="1640" t="s">
        <v>1873</v>
      </c>
      <c r="B23" s="1480" t="s">
        <v>981</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3">
        <f>SUMPRODUCT((地价!A3:A20=YEAR(G19)&amp;"-"&amp;ROUNDUP(MONTH(G19)/3,0))*(地价!AD2:AH2=N23)*(地价!AD3:AH20))</f>
        <v>0</v>
      </c>
      <c r="R23" s="2948"/>
      <c r="S23" s="2948"/>
      <c r="T23" s="2948"/>
      <c r="U23" s="2948"/>
      <c r="V23" s="2948"/>
      <c r="W23" s="2193"/>
      <c r="X23" s="2193"/>
      <c r="Y23" s="2193"/>
      <c r="Z23" s="2193"/>
      <c r="AA23" s="2193"/>
      <c r="AB23" s="2193"/>
      <c r="AC23" s="2193"/>
      <c r="AN23" s="1401"/>
    </row>
    <row r="24" spans="1:40" s="1418" customFormat="1" ht="15.75" thickBot="1">
      <c r="A24" s="1638" t="s">
        <v>1874</v>
      </c>
      <c r="B24" s="1412" t="s">
        <v>982</v>
      </c>
      <c r="C24" s="1058">
        <f>SUMIF(A44:A87,E2,B44:B87)</f>
        <v>0</v>
      </c>
      <c r="D24" s="1532"/>
      <c r="E24" s="1533"/>
      <c r="F24" s="1533"/>
      <c r="G24" s="1533"/>
      <c r="H24" s="1533"/>
      <c r="I24" s="1533"/>
      <c r="J24" s="1533"/>
      <c r="K24" s="1478"/>
      <c r="L24" s="1478"/>
      <c r="M24" s="1478"/>
      <c r="N24" s="1481" t="s">
        <v>983</v>
      </c>
      <c r="O24" s="1540"/>
      <c r="P24" s="1538">
        <f>SUMPRODUCT((地价!A3:A20=YEAR(G19)&amp;"-"&amp;ROUNDUP(MONTH(G19)/3,0))*(地价!AD2:AH2=N24)*(地价!AD3:AH20))</f>
        <v>0</v>
      </c>
      <c r="R24" s="2948"/>
      <c r="S24" s="2948"/>
      <c r="T24" s="2948"/>
      <c r="U24" s="2948"/>
      <c r="V24" s="2948"/>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1" t="s">
        <v>2657</v>
      </c>
      <c r="O25" s="2193"/>
      <c r="P25" s="1538">
        <f>SUMPRODUCT((地价!A3:A20=YEAR(G19)&amp;"-"&amp;ROUNDUP(MONTH(G19)/3,0))*(地价!AD2:AH2=N25)*(地价!AD3:AH20))</f>
        <v>0</v>
      </c>
      <c r="R25" s="2948"/>
      <c r="S25" s="2948"/>
      <c r="T25" s="2948"/>
      <c r="U25" s="2948"/>
      <c r="V25" s="2948"/>
      <c r="W25" s="2193"/>
      <c r="X25" s="2193"/>
      <c r="Y25" s="2193"/>
      <c r="Z25" s="2193"/>
      <c r="AA25" s="2193"/>
      <c r="AB25" s="2193"/>
      <c r="AC25" s="2193"/>
    </row>
    <row r="26" spans="1:40" ht="14.25">
      <c r="A26" s="1486"/>
      <c r="B26" s="1480" t="s">
        <v>988</v>
      </c>
      <c r="C26" s="1059" t="e">
        <f>E29+SUM(E33:E39)</f>
        <v>#DIV/0!</v>
      </c>
      <c r="D26" s="1487"/>
      <c r="E26" s="1453"/>
      <c r="F26" s="1488"/>
      <c r="G26" s="1453"/>
      <c r="H26" s="1453"/>
      <c r="I26" s="1453"/>
      <c r="J26" s="1489"/>
      <c r="K26" s="1398"/>
      <c r="L26" s="2193"/>
      <c r="M26" s="2193"/>
      <c r="N26" s="2193"/>
      <c r="O26" s="2193"/>
      <c r="P26" s="2193"/>
      <c r="Q26" s="2193"/>
      <c r="R26" s="2948"/>
      <c r="S26" s="2948"/>
      <c r="T26" s="2948"/>
      <c r="U26" s="2948"/>
      <c r="V26" s="2948"/>
      <c r="W26" s="2193"/>
      <c r="X26" s="2193"/>
      <c r="Y26" s="2193"/>
      <c r="Z26" s="2193"/>
      <c r="AA26" s="2193"/>
      <c r="AB26" s="2193"/>
      <c r="AC26" s="2193"/>
      <c r="AD26" s="1469"/>
      <c r="AE26" s="1469"/>
      <c r="AF26" s="1469"/>
      <c r="AG26" s="1469"/>
    </row>
    <row r="27" spans="1:40" ht="15" thickBot="1">
      <c r="A27" s="1486"/>
      <c r="B27" s="1490" t="s">
        <v>990</v>
      </c>
      <c r="C27" s="1060" t="e">
        <f>E30+SUM(I33:I39)</f>
        <v>#DIV/0!</v>
      </c>
      <c r="D27" s="1491"/>
      <c r="E27" s="1492"/>
      <c r="F27" s="1493"/>
      <c r="G27" s="1492"/>
      <c r="H27" s="1492"/>
      <c r="I27" s="1492"/>
      <c r="J27" s="1494"/>
      <c r="K27" s="1398"/>
      <c r="L27" s="2193"/>
      <c r="M27" s="2193"/>
      <c r="N27" s="2193"/>
      <c r="O27" s="2193"/>
      <c r="P27" s="2193"/>
      <c r="Q27" s="2193"/>
      <c r="R27" s="2948"/>
      <c r="S27" s="2948"/>
      <c r="T27" s="2948"/>
      <c r="U27" s="2948"/>
      <c r="V27" s="2948"/>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8"/>
      <c r="S28" s="2948"/>
      <c r="T28" s="2948"/>
      <c r="U28" s="2948"/>
      <c r="V28" s="2948"/>
      <c r="W28" s="2193"/>
      <c r="X28" s="2193"/>
      <c r="Y28" s="2193"/>
      <c r="Z28" s="2193"/>
      <c r="AA28" s="2193"/>
      <c r="AB28" s="2193"/>
      <c r="AC28" s="2193"/>
      <c r="AD28" s="1469"/>
      <c r="AE28" s="1469"/>
      <c r="AF28" s="1469"/>
      <c r="AG28" s="1469"/>
    </row>
    <row r="29" spans="1:40" ht="24">
      <c r="A29" s="1499"/>
      <c r="B29" s="1500" t="s">
        <v>995</v>
      </c>
      <c r="C29" s="1059" t="e">
        <f>ROUND(C5*C18*C19*C20*C21*C24,0)</f>
        <v>#DIV/0!</v>
      </c>
      <c r="D29" s="1501"/>
      <c r="E29" s="1847" t="e">
        <f>ROUND(C29*D29/10000,0)</f>
        <v>#DIV/0!</v>
      </c>
      <c r="F29" s="1502" t="s">
        <v>1703</v>
      </c>
      <c r="G29" s="1503"/>
      <c r="H29" s="1503"/>
      <c r="I29" s="1503"/>
      <c r="J29" s="1504"/>
      <c r="K29" s="1398"/>
      <c r="L29" s="2193"/>
      <c r="M29" s="2193"/>
      <c r="N29" s="2193"/>
      <c r="O29" s="2193"/>
      <c r="P29" s="2193"/>
      <c r="Q29" s="2193"/>
      <c r="R29" s="2948"/>
      <c r="S29" s="2948"/>
      <c r="T29" s="2948"/>
      <c r="U29" s="2948"/>
      <c r="V29" s="2948"/>
      <c r="W29" s="2193"/>
      <c r="X29" s="2193"/>
      <c r="Y29" s="2193"/>
      <c r="Z29" s="2193"/>
      <c r="AA29" s="2193"/>
      <c r="AB29" s="2193"/>
      <c r="AC29" s="2193"/>
      <c r="AH29" s="1399"/>
      <c r="AI29" s="1399"/>
      <c r="AJ29" s="1402"/>
      <c r="AK29" s="1402"/>
      <c r="AL29" s="1402"/>
      <c r="AM29" s="1402"/>
    </row>
    <row r="30" spans="1:40" ht="24.75" thickBot="1">
      <c r="A30" s="1505"/>
      <c r="B30" s="1506" t="s">
        <v>996</v>
      </c>
      <c r="C30" s="1047"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29" t="s">
        <v>2975</v>
      </c>
      <c r="B33" s="1521" t="s">
        <v>1001</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30"/>
      <c r="B34" s="1442" t="s">
        <v>1002</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30"/>
      <c r="B35" s="1442" t="s">
        <v>1003</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1"/>
      <c r="B36" s="1442" t="s">
        <v>1004</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1022</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1023</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1024</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1025</v>
      </c>
      <c r="B50" s="3121" t="s">
        <v>2950</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1026</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1027</v>
      </c>
      <c r="B52" s="3120" t="s">
        <v>2949</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1030</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1032</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1023</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1024</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1025</v>
      </c>
      <c r="B61" s="3121" t="s">
        <v>2951</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1026</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1027</v>
      </c>
      <c r="B63" s="3120" t="s">
        <v>2949</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1028</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1029</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1030</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1034</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1035</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1024</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1036</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1028</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1029</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1027</v>
      </c>
      <c r="B75" s="3120" t="s">
        <v>2949</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1030</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2"/>
      <c r="AD79" s="1401"/>
      <c r="AJ79" s="1400"/>
      <c r="AN79" s="1401"/>
    </row>
    <row r="80" spans="1:40" ht="36">
      <c r="A80" s="1063" t="s">
        <v>1039</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1035</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1024</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1036</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1028</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1029</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1027</v>
      </c>
      <c r="B86" s="3120" t="s">
        <v>2949</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1040</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27" t="s">
        <v>1635</v>
      </c>
      <c r="B90" s="3427"/>
      <c r="C90" s="3427"/>
      <c r="D90" s="3427"/>
      <c r="E90" s="3427"/>
      <c r="F90" s="3427"/>
      <c r="G90" s="3427"/>
      <c r="H90" s="3427"/>
      <c r="I90" s="3427"/>
      <c r="J90" s="3427"/>
      <c r="K90" s="2472"/>
      <c r="L90" s="2472"/>
      <c r="M90" s="2472"/>
      <c r="N90" s="2472"/>
    </row>
    <row r="91" spans="1:40">
      <c r="A91" s="3428" t="s">
        <v>1445</v>
      </c>
      <c r="B91" s="3428" t="s">
        <v>1636</v>
      </c>
      <c r="C91" s="1136" t="s">
        <v>1637</v>
      </c>
      <c r="D91" s="1137"/>
      <c r="E91" s="1137"/>
      <c r="F91" s="1137"/>
      <c r="G91" s="1137"/>
      <c r="H91" s="1137"/>
      <c r="I91" s="1137"/>
      <c r="J91" s="1138"/>
      <c r="K91" s="1130"/>
      <c r="L91" s="1130"/>
      <c r="M91" s="1130"/>
      <c r="N91" s="1130"/>
    </row>
    <row r="92" spans="1:40">
      <c r="A92" s="3428"/>
      <c r="B92" s="3428"/>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35" t="s">
        <v>2773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6"/>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5" t="s">
        <v>1639</v>
      </c>
      <c r="B101" s="1143" t="s">
        <v>907</v>
      </c>
      <c r="C101" s="1144">
        <f>$G$3</f>
        <v>3.65</v>
      </c>
      <c r="D101" s="1144">
        <f t="shared" ref="D101:N101" si="31">$G$3</f>
        <v>3.65</v>
      </c>
      <c r="E101" s="1144">
        <f t="shared" si="31"/>
        <v>3.65</v>
      </c>
      <c r="F101" s="1144">
        <f t="shared" si="31"/>
        <v>3.65</v>
      </c>
      <c r="G101" s="1144">
        <f t="shared" si="31"/>
        <v>3.65</v>
      </c>
      <c r="H101" s="1144">
        <f t="shared" si="31"/>
        <v>3.65</v>
      </c>
      <c r="I101" s="1144">
        <f t="shared" si="31"/>
        <v>3.65</v>
      </c>
      <c r="J101" s="1144">
        <f t="shared" si="31"/>
        <v>3.65</v>
      </c>
      <c r="K101" s="1144">
        <f t="shared" si="31"/>
        <v>3.65</v>
      </c>
      <c r="L101" s="1144">
        <f t="shared" si="31"/>
        <v>3.65</v>
      </c>
      <c r="M101" s="1144">
        <f t="shared" si="31"/>
        <v>3.65</v>
      </c>
      <c r="N101" s="1144">
        <f t="shared" si="31"/>
        <v>3.65</v>
      </c>
    </row>
    <row r="102" spans="1:14">
      <c r="A102" s="3436"/>
      <c r="B102" s="1139">
        <v>1</v>
      </c>
      <c r="C102" s="1140">
        <f>1.9362/C101</f>
        <v>0.53046575342465752</v>
      </c>
      <c r="D102" s="1140">
        <f>1.9362/D101</f>
        <v>0.53046575342465752</v>
      </c>
      <c r="E102" s="1140">
        <f>1.8629/E101</f>
        <v>0.51038356164383558</v>
      </c>
      <c r="F102" s="1140">
        <f>1.8629/F101</f>
        <v>0.51038356164383558</v>
      </c>
      <c r="G102" s="1140">
        <f>1.8629/G101</f>
        <v>0.51038356164383558</v>
      </c>
      <c r="H102" s="1140">
        <f>1.8629/H101</f>
        <v>0.51038356164383558</v>
      </c>
      <c r="I102" s="1140">
        <f>1.8629/I101</f>
        <v>0.51038356164383558</v>
      </c>
      <c r="J102" s="1140">
        <f>1.942/J101</f>
        <v>0.53205479452054794</v>
      </c>
      <c r="K102" s="1140">
        <f>1.942/K101</f>
        <v>0.53205479452054794</v>
      </c>
      <c r="L102" s="1140">
        <f>1.942/L101</f>
        <v>0.53205479452054794</v>
      </c>
      <c r="M102" s="1140">
        <f>1.942/M101</f>
        <v>0.53205479452054794</v>
      </c>
      <c r="N102" s="1140">
        <f>1.942/N101</f>
        <v>0.53205479452054794</v>
      </c>
    </row>
    <row r="103" spans="1:14">
      <c r="A103" s="3436"/>
      <c r="B103" s="1139">
        <v>2</v>
      </c>
      <c r="C103" s="1140">
        <f>1.4198/C101</f>
        <v>0.38898630136986301</v>
      </c>
      <c r="D103" s="1140">
        <f>1.4198/D101</f>
        <v>0.38898630136986301</v>
      </c>
      <c r="E103" s="1140">
        <f>1.3372/E101</f>
        <v>0.36635616438356161</v>
      </c>
      <c r="F103" s="1140">
        <f>1.3372/F101</f>
        <v>0.36635616438356161</v>
      </c>
      <c r="G103" s="1140">
        <f>1.3372/G101</f>
        <v>0.36635616438356161</v>
      </c>
      <c r="H103" s="1140">
        <f>1.3372/H101</f>
        <v>0.36635616438356161</v>
      </c>
      <c r="I103" s="1140">
        <f>1.3372/I101</f>
        <v>0.36635616438356161</v>
      </c>
      <c r="J103" s="1140">
        <f>1.2799/J101</f>
        <v>0.35065753424657536</v>
      </c>
      <c r="K103" s="1140">
        <f>1.2799/K101</f>
        <v>0.35065753424657536</v>
      </c>
      <c r="L103" s="1140">
        <f>1.2799/L101</f>
        <v>0.35065753424657536</v>
      </c>
      <c r="M103" s="1140">
        <f>1.2799/M101</f>
        <v>0.35065753424657536</v>
      </c>
      <c r="N103" s="1140">
        <f>1.2799/N101</f>
        <v>0.35065753424657536</v>
      </c>
    </row>
    <row r="104" spans="1:14">
      <c r="A104" s="3436"/>
      <c r="B104" s="1139">
        <v>3</v>
      </c>
      <c r="C104" s="1140">
        <f>1.1594/C101</f>
        <v>0.31764383561643839</v>
      </c>
      <c r="D104" s="1140">
        <f>1.1594/D101</f>
        <v>0.31764383561643839</v>
      </c>
      <c r="E104" s="1140">
        <f>1.0788/E101</f>
        <v>0.29556164383561645</v>
      </c>
      <c r="F104" s="1140">
        <f>1.0788/F101</f>
        <v>0.29556164383561645</v>
      </c>
      <c r="G104" s="1140">
        <f>1.0788/G101</f>
        <v>0.29556164383561645</v>
      </c>
      <c r="H104" s="1140">
        <f>1.0788/H101</f>
        <v>0.29556164383561645</v>
      </c>
      <c r="I104" s="1140">
        <f>1.0788/I101</f>
        <v>0.29556164383561645</v>
      </c>
      <c r="J104" s="1140">
        <f>1.0072/J101</f>
        <v>0.27594520547945206</v>
      </c>
      <c r="K104" s="1140">
        <f>1.0072/K101</f>
        <v>0.27594520547945206</v>
      </c>
      <c r="L104" s="1140">
        <f>1.0072/L101</f>
        <v>0.27594520547945206</v>
      </c>
      <c r="M104" s="1140">
        <f>1.0072/M101</f>
        <v>0.27594520547945206</v>
      </c>
      <c r="N104" s="1140">
        <f>1.0072/N101</f>
        <v>0.27594520547945206</v>
      </c>
    </row>
    <row r="105" spans="1:14">
      <c r="A105" s="3436"/>
      <c r="B105" s="1139">
        <v>4</v>
      </c>
      <c r="C105" s="1140">
        <f>0.9622/C101</f>
        <v>0.26361643835616438</v>
      </c>
      <c r="D105" s="1140">
        <f>0.9622/D101</f>
        <v>0.26361643835616438</v>
      </c>
      <c r="E105" s="1140">
        <f>0.8656/E101</f>
        <v>0.23715068493150687</v>
      </c>
      <c r="F105" s="1140">
        <f>0.8656/F101</f>
        <v>0.23715068493150687</v>
      </c>
      <c r="G105" s="1140">
        <f>0.8656/G101</f>
        <v>0.23715068493150687</v>
      </c>
      <c r="H105" s="1140">
        <f>0.8656/H101</f>
        <v>0.23715068493150687</v>
      </c>
      <c r="I105" s="1140">
        <f>0.8656/I101</f>
        <v>0.23715068493150687</v>
      </c>
      <c r="J105" s="1140">
        <f>0.7525/J101</f>
        <v>0.20616438356164382</v>
      </c>
      <c r="K105" s="1140">
        <f>0.7525/K101</f>
        <v>0.20616438356164382</v>
      </c>
      <c r="L105" s="1140">
        <f>0.7525/L101</f>
        <v>0.20616438356164382</v>
      </c>
      <c r="M105" s="1140">
        <f>0.7525/M101</f>
        <v>0.20616438356164382</v>
      </c>
      <c r="N105" s="1140">
        <f>0.7525/N101</f>
        <v>0.20616438356164382</v>
      </c>
    </row>
    <row r="106" spans="1:14">
      <c r="A106" s="3436"/>
      <c r="B106" s="1139">
        <v>5</v>
      </c>
      <c r="C106" s="1140">
        <f>0.8417/C101</f>
        <v>0.23060273972602741</v>
      </c>
      <c r="D106" s="1140">
        <f>0.8417/D101</f>
        <v>0.23060273972602741</v>
      </c>
      <c r="E106" s="1140">
        <f>0.7371/E101</f>
        <v>0.20194520547945205</v>
      </c>
      <c r="F106" s="1140">
        <f>0.7371/F101</f>
        <v>0.20194520547945205</v>
      </c>
      <c r="G106" s="1140">
        <f>0.7371/G101</f>
        <v>0.20194520547945205</v>
      </c>
      <c r="H106" s="1140">
        <f>0.7371/H101</f>
        <v>0.20194520547945205</v>
      </c>
      <c r="I106" s="1140">
        <f>0.7371/I101</f>
        <v>0.20194520547945205</v>
      </c>
      <c r="J106" s="1140">
        <f>0.5659/J101</f>
        <v>0.15504109589041096</v>
      </c>
      <c r="K106" s="1140">
        <f>0.5659/K101</f>
        <v>0.15504109589041096</v>
      </c>
      <c r="L106" s="1140">
        <f>0.5659/L101</f>
        <v>0.15504109589041096</v>
      </c>
      <c r="M106" s="1140">
        <f>0.5659/M101</f>
        <v>0.15504109589041096</v>
      </c>
      <c r="N106" s="1140">
        <f>0.5659/N101</f>
        <v>0.15504109589041096</v>
      </c>
    </row>
    <row r="107" spans="1:14">
      <c r="A107" s="3436"/>
      <c r="B107" s="1139">
        <v>6</v>
      </c>
      <c r="C107" s="1140">
        <f>0.7608/C101</f>
        <v>0.20843835616438358</v>
      </c>
      <c r="D107" s="1140">
        <f>0.7608/D101</f>
        <v>0.20843835616438358</v>
      </c>
      <c r="E107" s="1140">
        <f>0.6482/E101</f>
        <v>0.17758904109589041</v>
      </c>
      <c r="F107" s="1140">
        <f>0.6482/F101</f>
        <v>0.17758904109589041</v>
      </c>
      <c r="G107" s="1140">
        <f>0.6482/G101</f>
        <v>0.17758904109589041</v>
      </c>
      <c r="H107" s="1140">
        <f>0.6482/H101</f>
        <v>0.17758904109589041</v>
      </c>
      <c r="I107" s="1140">
        <f>0.6482/I101</f>
        <v>0.17758904109589041</v>
      </c>
      <c r="J107" s="1140">
        <f>0.4525/J101</f>
        <v>0.12397260273972603</v>
      </c>
      <c r="K107" s="1140">
        <f>0.4525/K101</f>
        <v>0.12397260273972603</v>
      </c>
      <c r="L107" s="1140">
        <f>0.4525/L101</f>
        <v>0.12397260273972603</v>
      </c>
      <c r="M107" s="1140">
        <f>0.4525/M101</f>
        <v>0.12397260273972603</v>
      </c>
      <c r="N107" s="1140">
        <f>0.4525/N101</f>
        <v>0.12397260273972603</v>
      </c>
    </row>
    <row r="108" spans="1:14">
      <c r="A108" s="3436"/>
      <c r="B108" s="3438"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7"/>
      <c r="B109" s="3439"/>
      <c r="C109" s="1142">
        <f>(-0.163*(C108^2)-0.59*C108+7617)*(10^(-4))/C101</f>
        <v>0.20826980821917809</v>
      </c>
      <c r="D109" s="1142">
        <f>(-0.163*(D108^2)-0.59*D108+7617)*(10^(-4))/D101</f>
        <v>0.20826980821917809</v>
      </c>
      <c r="E109" s="1142">
        <f>(-0.161*(E108^2)-7.509*E108+6533)*(10^(-4))/E101</f>
        <v>0.17705819178082194</v>
      </c>
      <c r="F109" s="1142">
        <f>(-0.161*(F108^2)-7.509*F108+6533)*(10^(-4))/F101</f>
        <v>0.17705819178082194</v>
      </c>
      <c r="G109" s="1142">
        <f>(-0.161*(G108^2)-7.509*G108+6533)*(10^(-4))/G101</f>
        <v>0.17705819178082194</v>
      </c>
      <c r="H109" s="1142">
        <f>(-0.161*(H108^2)-7.509*H108+6533)*(10^(-4))/H101</f>
        <v>0.17705819178082194</v>
      </c>
      <c r="I109" s="1142">
        <f>(-0.161*(I108^2)-7.509*I108+6533)*(10^(-4))/I101</f>
        <v>0.17705819178082194</v>
      </c>
      <c r="J109" s="1142">
        <f>(-0.214*(J108^2)-21.991*J108+4665)*(10^(-4))/J101</f>
        <v>0.12261304109589043</v>
      </c>
      <c r="K109" s="1142">
        <f>(-0.214*(K108^2)-21.991*K108+4665)*(10^(-4))/K101</f>
        <v>0.12261304109589043</v>
      </c>
      <c r="L109" s="1142">
        <f>(-0.214*(L108^2)-21.991*L108+4665)*(10^(-4))/L101</f>
        <v>0.12261304109589043</v>
      </c>
      <c r="M109" s="1142">
        <f>(-0.214*(M108^2)-21.991*M108+4665)*(10^(-4))/M101</f>
        <v>0.12261304109589043</v>
      </c>
      <c r="N109" s="1142">
        <f>(-0.214*(N108^2)-21.991*N108+4665)*(10^(-4))/N101</f>
        <v>0.12261304109589043</v>
      </c>
    </row>
    <row r="110" spans="1:14">
      <c r="A110" s="3422" t="s">
        <v>1641</v>
      </c>
      <c r="B110" s="3422"/>
      <c r="C110" s="3422"/>
      <c r="D110" s="3422"/>
      <c r="E110" s="3422"/>
      <c r="F110" s="3422"/>
      <c r="G110" s="3422"/>
      <c r="H110" s="3422"/>
      <c r="I110" s="3422"/>
      <c r="J110" s="3422"/>
      <c r="K110" s="2470"/>
      <c r="L110" s="2470"/>
      <c r="M110" s="2470"/>
      <c r="N110" s="2470"/>
    </row>
    <row r="112" spans="1:14" ht="12.75" thickBot="1"/>
    <row r="113" spans="1:13" ht="25.5" thickBot="1">
      <c r="A113" s="1012" t="s">
        <v>897</v>
      </c>
      <c r="B113" s="2473">
        <f>G3</f>
        <v>3.65</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0.8992</v>
      </c>
      <c r="C115" s="1026">
        <f>B115</f>
        <v>0.8992</v>
      </c>
      <c r="D115" s="1026">
        <f>ROUND(0.8331-0.0109*B113,4)</f>
        <v>0.79330000000000001</v>
      </c>
      <c r="E115" s="1026">
        <f>D115</f>
        <v>0.79330000000000001</v>
      </c>
      <c r="F115" s="1026">
        <f>E115</f>
        <v>0.79330000000000001</v>
      </c>
      <c r="G115" s="1026">
        <f>F115</f>
        <v>0.79330000000000001</v>
      </c>
      <c r="H115" s="1026">
        <f>G115</f>
        <v>0.79330000000000001</v>
      </c>
      <c r="I115" s="1026">
        <f>ROUND(0.689-0.0155*B113,4)</f>
        <v>0.63239999999999996</v>
      </c>
      <c r="J115" s="1026">
        <f t="shared" ref="J115:M118" si="33">I115</f>
        <v>0.63239999999999996</v>
      </c>
      <c r="K115" s="1026">
        <f t="shared" si="33"/>
        <v>0.63239999999999996</v>
      </c>
      <c r="L115" s="1026">
        <f t="shared" si="33"/>
        <v>0.63239999999999996</v>
      </c>
      <c r="M115" s="1027">
        <f t="shared" si="33"/>
        <v>0.63239999999999996</v>
      </c>
    </row>
    <row r="116" spans="1:13" ht="12.75">
      <c r="A116" s="1025" t="s">
        <v>902</v>
      </c>
      <c r="B116" s="1026">
        <f>ROUND(0.949-0.012*B113,4)</f>
        <v>0.9052</v>
      </c>
      <c r="C116" s="1026">
        <f>B116</f>
        <v>0.9052</v>
      </c>
      <c r="D116" s="1026">
        <f>ROUND(0.8567-0.013*B113,4)</f>
        <v>0.80930000000000002</v>
      </c>
      <c r="E116" s="1026">
        <f t="shared" ref="E116:H117" si="34">D116</f>
        <v>0.80930000000000002</v>
      </c>
      <c r="F116" s="1026">
        <f t="shared" si="34"/>
        <v>0.80930000000000002</v>
      </c>
      <c r="G116" s="1026">
        <f t="shared" si="34"/>
        <v>0.80930000000000002</v>
      </c>
      <c r="H116" s="1026">
        <f t="shared" si="34"/>
        <v>0.80930000000000002</v>
      </c>
      <c r="I116" s="1026">
        <f>ROUND(0.7694-0.014*B113,4)</f>
        <v>0.71830000000000005</v>
      </c>
      <c r="J116" s="1026">
        <f t="shared" si="33"/>
        <v>0.71830000000000005</v>
      </c>
      <c r="K116" s="1026">
        <f t="shared" si="33"/>
        <v>0.71830000000000005</v>
      </c>
      <c r="L116" s="1026">
        <f t="shared" si="33"/>
        <v>0.71830000000000005</v>
      </c>
      <c r="M116" s="1027">
        <f t="shared" si="33"/>
        <v>0.71830000000000005</v>
      </c>
    </row>
    <row r="117" spans="1:13" ht="12.75">
      <c r="A117" s="1028" t="s">
        <v>903</v>
      </c>
      <c r="B117" s="1026">
        <f>ROUND(0.8808-0.006*B113,4)</f>
        <v>0.8589</v>
      </c>
      <c r="C117" s="1026">
        <f>B117</f>
        <v>0.8589</v>
      </c>
      <c r="D117" s="1026">
        <f>ROUND(0.8748-0.008*B113,4)</f>
        <v>0.84560000000000002</v>
      </c>
      <c r="E117" s="1026">
        <f t="shared" si="34"/>
        <v>0.84560000000000002</v>
      </c>
      <c r="F117" s="1026">
        <f t="shared" si="34"/>
        <v>0.84560000000000002</v>
      </c>
      <c r="G117" s="1026">
        <f t="shared" si="34"/>
        <v>0.84560000000000002</v>
      </c>
      <c r="H117" s="1026">
        <f t="shared" si="34"/>
        <v>0.84560000000000002</v>
      </c>
      <c r="I117" s="1026">
        <f>ROUND(0.7412-0.0095*B113,4)</f>
        <v>0.70650000000000002</v>
      </c>
      <c r="J117" s="1026">
        <f t="shared" si="33"/>
        <v>0.70650000000000002</v>
      </c>
      <c r="K117" s="1026">
        <f t="shared" si="33"/>
        <v>0.70650000000000002</v>
      </c>
      <c r="L117" s="1026">
        <f t="shared" si="33"/>
        <v>0.70650000000000002</v>
      </c>
      <c r="M117" s="1027">
        <f t="shared" si="33"/>
        <v>0.70650000000000002</v>
      </c>
    </row>
    <row r="118" spans="1:13" ht="13.5" thickBot="1">
      <c r="A118" s="1029" t="s">
        <v>904</v>
      </c>
      <c r="B118" s="1030">
        <f>ROUND(0.7275-0.01*B113,4)</f>
        <v>0.69099999999999995</v>
      </c>
      <c r="C118" s="1030">
        <f>B118</f>
        <v>0.69099999999999995</v>
      </c>
      <c r="D118" s="1030">
        <f>ROUND(0.7043-0.012*B113,4)</f>
        <v>0.66049999999999998</v>
      </c>
      <c r="E118" s="1030">
        <f>D118</f>
        <v>0.66049999999999998</v>
      </c>
      <c r="F118" s="1030">
        <f>E118</f>
        <v>0.66049999999999998</v>
      </c>
      <c r="G118" s="1030">
        <f>ROUND(0.6299-0.0122*B113,4)</f>
        <v>0.58540000000000003</v>
      </c>
      <c r="H118" s="1030">
        <f>G118</f>
        <v>0.58540000000000003</v>
      </c>
      <c r="I118" s="1030">
        <f>ROUND(0.5667-0.0136*B113,4)</f>
        <v>0.5171</v>
      </c>
      <c r="J118" s="1030">
        <f t="shared" si="33"/>
        <v>0.5171</v>
      </c>
      <c r="K118" s="1030">
        <f t="shared" si="33"/>
        <v>0.5171</v>
      </c>
      <c r="L118" s="1030">
        <f t="shared" si="33"/>
        <v>0.5171</v>
      </c>
      <c r="M118" s="1031">
        <f t="shared" si="33"/>
        <v>0.5171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6" customFormat="1" ht="19.5" customHeight="1">
      <c r="A18" s="3428" t="s">
        <v>1009</v>
      </c>
      <c r="B18" s="1150" t="s">
        <v>1448</v>
      </c>
      <c r="C18" s="1127" t="s">
        <v>1449</v>
      </c>
      <c r="D18" s="1128"/>
      <c r="E18" s="1150">
        <v>1</v>
      </c>
      <c r="F18" s="1129" t="s">
        <v>1450</v>
      </c>
      <c r="G18" s="1130"/>
      <c r="H18" s="1101"/>
      <c r="I18" s="1101"/>
    </row>
    <row r="19" spans="1:9" s="1596" customFormat="1" ht="19.5" customHeight="1">
      <c r="A19" s="3428"/>
      <c r="B19" s="3428" t="s">
        <v>1451</v>
      </c>
      <c r="C19" s="1127" t="s">
        <v>1452</v>
      </c>
      <c r="D19" s="1128"/>
      <c r="E19" s="1150">
        <v>0.9</v>
      </c>
      <c r="F19" s="1129" t="s">
        <v>1453</v>
      </c>
      <c r="G19" s="1130"/>
      <c r="H19" s="1101"/>
      <c r="I19" s="1101"/>
    </row>
    <row r="20" spans="1:9" s="1596" customFormat="1" ht="19.5" customHeight="1">
      <c r="A20" s="3428"/>
      <c r="B20" s="3428"/>
      <c r="C20" s="1127" t="s">
        <v>1454</v>
      </c>
      <c r="D20" s="1128"/>
      <c r="E20" s="1150">
        <v>1.1000000000000001</v>
      </c>
      <c r="F20" s="1129" t="s">
        <v>1455</v>
      </c>
      <c r="G20" s="1130"/>
      <c r="H20" s="1101"/>
      <c r="I20" s="1101"/>
    </row>
    <row r="21" spans="1:9" s="1596" customFormat="1" ht="19.5" customHeight="1">
      <c r="A21" s="3428"/>
      <c r="B21" s="3428"/>
      <c r="C21" s="1127" t="s">
        <v>1456</v>
      </c>
      <c r="D21" s="1128"/>
      <c r="E21" s="1150">
        <v>0.8</v>
      </c>
      <c r="F21" s="1129" t="s">
        <v>1457</v>
      </c>
      <c r="G21" s="1130"/>
      <c r="H21" s="1101"/>
      <c r="I21" s="1101"/>
    </row>
    <row r="22" spans="1:9" s="1596" customFormat="1" ht="19.5" customHeight="1">
      <c r="A22" s="3428"/>
      <c r="B22" s="3428"/>
      <c r="C22" s="1127" t="s">
        <v>1458</v>
      </c>
      <c r="D22" s="1128"/>
      <c r="E22" s="1150">
        <v>0.5</v>
      </c>
      <c r="F22" s="1129"/>
      <c r="G22" s="1130"/>
      <c r="H22" s="1101"/>
      <c r="I22" s="1101"/>
    </row>
    <row r="23" spans="1:9" s="1596" customFormat="1" ht="19.5" customHeight="1">
      <c r="A23" s="3428" t="s">
        <v>1031</v>
      </c>
      <c r="B23" s="1150" t="s">
        <v>1448</v>
      </c>
      <c r="C23" s="1127" t="s">
        <v>1459</v>
      </c>
      <c r="D23" s="1128"/>
      <c r="E23" s="1150">
        <v>1</v>
      </c>
      <c r="F23" s="1129" t="s">
        <v>1460</v>
      </c>
      <c r="G23" s="1130"/>
      <c r="H23" s="1101"/>
      <c r="I23" s="1101"/>
    </row>
    <row r="24" spans="1:9" s="1596" customFormat="1" ht="19.5" customHeight="1">
      <c r="A24" s="3428"/>
      <c r="B24" s="3428" t="s">
        <v>1451</v>
      </c>
      <c r="C24" s="1127" t="s">
        <v>1461</v>
      </c>
      <c r="D24" s="1128"/>
      <c r="E24" s="1150">
        <v>0.5</v>
      </c>
      <c r="F24" s="1129"/>
      <c r="G24" s="1130"/>
      <c r="H24" s="1101"/>
      <c r="I24" s="1101"/>
    </row>
    <row r="25" spans="1:9" s="1596" customFormat="1" ht="19.5" customHeight="1">
      <c r="A25" s="3428"/>
      <c r="B25" s="3428"/>
      <c r="C25" s="1127" t="s">
        <v>1462</v>
      </c>
      <c r="D25" s="1128"/>
      <c r="E25" s="1150">
        <v>1.1000000000000001</v>
      </c>
      <c r="F25" s="1129"/>
      <c r="G25" s="1130"/>
      <c r="H25" s="1101"/>
      <c r="I25" s="1101"/>
    </row>
    <row r="26" spans="1:9" s="1596" customFormat="1" ht="19.5" customHeight="1">
      <c r="A26" s="3428"/>
      <c r="B26" s="3428"/>
      <c r="C26" s="1127" t="s">
        <v>1463</v>
      </c>
      <c r="D26" s="1128"/>
      <c r="E26" s="1150">
        <v>1.1000000000000001</v>
      </c>
      <c r="F26" s="1129"/>
      <c r="G26" s="1130"/>
      <c r="H26" s="1101"/>
      <c r="I26" s="1101"/>
    </row>
    <row r="27" spans="1:9" s="1596" customFormat="1" ht="19.5" customHeight="1">
      <c r="A27" s="3428"/>
      <c r="B27" s="3428"/>
      <c r="C27" s="1127" t="s">
        <v>1464</v>
      </c>
      <c r="D27" s="1128"/>
      <c r="E27" s="1150">
        <v>0.9</v>
      </c>
      <c r="F27" s="1129" t="s">
        <v>1465</v>
      </c>
      <c r="G27" s="1130"/>
      <c r="H27" s="1101"/>
      <c r="I27" s="1101"/>
    </row>
    <row r="28" spans="1:9" s="1596" customFormat="1" ht="19.5" customHeight="1">
      <c r="A28" s="3428"/>
      <c r="B28" s="3428"/>
      <c r="C28" s="1127" t="s">
        <v>1466</v>
      </c>
      <c r="D28" s="1128"/>
      <c r="E28" s="1150">
        <v>0.9</v>
      </c>
      <c r="F28" s="1129" t="s">
        <v>1467</v>
      </c>
      <c r="G28" s="1130"/>
      <c r="H28" s="1101"/>
      <c r="I28" s="1101"/>
    </row>
    <row r="29" spans="1:9" s="1596" customFormat="1" ht="19.5" customHeight="1">
      <c r="A29" s="3428"/>
      <c r="B29" s="3428"/>
      <c r="C29" s="1127" t="s">
        <v>1468</v>
      </c>
      <c r="D29" s="1128"/>
      <c r="E29" s="1150">
        <v>0.9</v>
      </c>
      <c r="F29" s="1129" t="s">
        <v>1469</v>
      </c>
      <c r="G29" s="1130"/>
      <c r="H29" s="1101"/>
      <c r="I29" s="1101"/>
    </row>
    <row r="30" spans="1:9" s="1596" customFormat="1" ht="19.5" customHeight="1">
      <c r="A30" s="3428"/>
      <c r="B30" s="3428"/>
      <c r="C30" s="1127" t="s">
        <v>1470</v>
      </c>
      <c r="D30" s="1128"/>
      <c r="E30" s="1150">
        <v>0.9</v>
      </c>
      <c r="F30" s="1129" t="s">
        <v>1471</v>
      </c>
      <c r="G30" s="1130"/>
      <c r="H30" s="1101"/>
      <c r="I30" s="1101"/>
    </row>
    <row r="31" spans="1:9" s="1596" customFormat="1" ht="19.5" customHeight="1">
      <c r="A31" s="3428"/>
      <c r="B31" s="3428"/>
      <c r="C31" s="1127" t="s">
        <v>1472</v>
      </c>
      <c r="D31" s="1128"/>
      <c r="E31" s="1150">
        <v>0.8</v>
      </c>
      <c r="F31" s="1129" t="s">
        <v>1473</v>
      </c>
      <c r="G31" s="1130"/>
      <c r="H31" s="1101"/>
      <c r="I31" s="1101"/>
    </row>
    <row r="32" spans="1:9" s="1596" customFormat="1" ht="19.5" customHeight="1">
      <c r="A32" s="3428"/>
      <c r="B32" s="3428"/>
      <c r="C32" s="1127" t="s">
        <v>1474</v>
      </c>
      <c r="D32" s="1128"/>
      <c r="E32" s="1150">
        <v>0.8</v>
      </c>
      <c r="F32" s="1129" t="s">
        <v>1475</v>
      </c>
      <c r="G32" s="1130"/>
      <c r="H32" s="1101"/>
      <c r="I32" s="1101"/>
    </row>
    <row r="33" spans="1:9" s="1596" customFormat="1" ht="19.5" customHeight="1">
      <c r="A33" s="3428" t="s">
        <v>1476</v>
      </c>
      <c r="B33" s="1150" t="s">
        <v>1448</v>
      </c>
      <c r="C33" s="1127" t="s">
        <v>1477</v>
      </c>
      <c r="D33" s="1128"/>
      <c r="E33" s="1150">
        <v>1</v>
      </c>
      <c r="F33" s="1129" t="s">
        <v>1478</v>
      </c>
      <c r="G33" s="1130"/>
      <c r="H33" s="1101"/>
      <c r="I33" s="1101"/>
    </row>
    <row r="34" spans="1:9" s="1596" customFormat="1" ht="19.5" customHeight="1">
      <c r="A34" s="3428"/>
      <c r="B34" s="1150" t="s">
        <v>1451</v>
      </c>
      <c r="C34" s="1127" t="s">
        <v>1479</v>
      </c>
      <c r="D34" s="1128"/>
      <c r="E34" s="1150">
        <v>1.5</v>
      </c>
      <c r="F34" s="1129" t="s">
        <v>1480</v>
      </c>
      <c r="G34" s="1130"/>
      <c r="H34" s="1101"/>
      <c r="I34" s="1101"/>
    </row>
    <row r="35" spans="1:9" s="1596" customFormat="1" ht="19.5" customHeight="1">
      <c r="A35" s="3428" t="s">
        <v>1434</v>
      </c>
      <c r="B35" s="1150" t="s">
        <v>1448</v>
      </c>
      <c r="C35" s="1127" t="s">
        <v>1481</v>
      </c>
      <c r="D35" s="1128"/>
      <c r="E35" s="1150">
        <v>1</v>
      </c>
      <c r="F35" s="1129" t="s">
        <v>1482</v>
      </c>
      <c r="G35" s="1130"/>
      <c r="H35" s="1101"/>
      <c r="I35" s="1101"/>
    </row>
    <row r="36" spans="1:9" s="1596" customFormat="1" ht="19.5" customHeight="1">
      <c r="A36" s="3428"/>
      <c r="B36" s="3428" t="s">
        <v>1451</v>
      </c>
      <c r="C36" s="1127" t="s">
        <v>1483</v>
      </c>
      <c r="D36" s="1128"/>
      <c r="E36" s="1150">
        <v>1</v>
      </c>
      <c r="F36" s="1129" t="s">
        <v>1484</v>
      </c>
      <c r="G36" s="1130"/>
      <c r="H36" s="1101"/>
      <c r="I36" s="1101"/>
    </row>
    <row r="37" spans="1:9" s="1596" customFormat="1" ht="19.5" customHeight="1">
      <c r="A37" s="3428"/>
      <c r="B37" s="3428"/>
      <c r="C37" s="1127" t="s">
        <v>1485</v>
      </c>
      <c r="D37" s="1128"/>
      <c r="E37" s="1150">
        <v>1.5</v>
      </c>
      <c r="F37" s="1129" t="s">
        <v>1486</v>
      </c>
      <c r="G37" s="1130"/>
      <c r="H37" s="1101"/>
      <c r="I37" s="1101"/>
    </row>
    <row r="38" spans="1:9" s="1596" customFormat="1" ht="19.5" customHeight="1">
      <c r="A38" s="3428"/>
      <c r="B38" s="3428"/>
      <c r="C38" s="1127" t="s">
        <v>1487</v>
      </c>
      <c r="D38" s="1128"/>
      <c r="E38" s="1150">
        <v>1</v>
      </c>
      <c r="F38" s="1129" t="s">
        <v>1488</v>
      </c>
      <c r="G38" s="1130"/>
      <c r="H38" s="1101"/>
      <c r="I38" s="1101"/>
    </row>
    <row r="39" spans="1:9" s="1596" customFormat="1" ht="19.5" customHeight="1">
      <c r="A39" s="3428"/>
      <c r="B39" s="3428"/>
      <c r="C39" s="1127" t="s">
        <v>1489</v>
      </c>
      <c r="D39" s="1128"/>
      <c r="E39" s="1150">
        <v>1</v>
      </c>
      <c r="F39" s="1129" t="s">
        <v>1490</v>
      </c>
      <c r="G39" s="1130"/>
      <c r="H39" s="1101"/>
      <c r="I39" s="1101"/>
    </row>
    <row r="40" spans="1:9" s="1596" customFormat="1" ht="19.5" customHeight="1">
      <c r="A40" s="1597" t="s">
        <v>1491</v>
      </c>
      <c r="B40" s="1597"/>
      <c r="C40" s="1597"/>
      <c r="D40" s="1597"/>
      <c r="E40" s="1597"/>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428" t="s">
        <v>1503</v>
      </c>
      <c r="C61" s="1064" t="s">
        <v>1504</v>
      </c>
      <c r="D61" s="1064" t="s">
        <v>1505</v>
      </c>
      <c r="E61" s="1135">
        <v>0.5</v>
      </c>
      <c r="F61" s="1150">
        <v>80</v>
      </c>
      <c r="H61" s="1101">
        <f>SUMIF(C59:C119,基准地价!C8,E59:E119)</f>
        <v>0</v>
      </c>
    </row>
    <row r="62" spans="1:8" s="1101" customFormat="1" ht="24">
      <c r="A62" s="1150">
        <v>2</v>
      </c>
      <c r="B62" s="3428"/>
      <c r="C62" s="1064" t="s">
        <v>1506</v>
      </c>
      <c r="D62" s="1064" t="s">
        <v>1507</v>
      </c>
      <c r="E62" s="1135">
        <v>0.5</v>
      </c>
      <c r="F62" s="1150">
        <v>80</v>
      </c>
    </row>
    <row r="63" spans="1:8" s="1101" customFormat="1" ht="36">
      <c r="A63" s="1150">
        <v>3</v>
      </c>
      <c r="B63" s="3428"/>
      <c r="C63" s="1064" t="s">
        <v>1508</v>
      </c>
      <c r="D63" s="1064" t="s">
        <v>1509</v>
      </c>
      <c r="E63" s="1135">
        <v>0.5</v>
      </c>
      <c r="F63" s="1150">
        <v>80</v>
      </c>
    </row>
    <row r="64" spans="1:8" s="1101" customFormat="1" ht="36">
      <c r="A64" s="1150">
        <v>4</v>
      </c>
      <c r="B64" s="3428"/>
      <c r="C64" s="1064" t="s">
        <v>1510</v>
      </c>
      <c r="D64" s="1064" t="s">
        <v>1511</v>
      </c>
      <c r="E64" s="1135">
        <v>0.4</v>
      </c>
      <c r="F64" s="1150">
        <v>60</v>
      </c>
    </row>
    <row r="65" spans="1:6" s="1101" customFormat="1" ht="36">
      <c r="A65" s="1150">
        <v>5</v>
      </c>
      <c r="B65" s="3428"/>
      <c r="C65" s="1064" t="s">
        <v>1512</v>
      </c>
      <c r="D65" s="1064" t="s">
        <v>1513</v>
      </c>
      <c r="E65" s="1135">
        <v>0.2</v>
      </c>
      <c r="F65" s="1150">
        <v>30</v>
      </c>
    </row>
    <row r="66" spans="1:6" s="1101" customFormat="1" ht="36">
      <c r="A66" s="1150">
        <v>6</v>
      </c>
      <c r="B66" s="3428"/>
      <c r="C66" s="1064" t="s">
        <v>1514</v>
      </c>
      <c r="D66" s="1064" t="s">
        <v>1515</v>
      </c>
      <c r="E66" s="1135">
        <v>0.3</v>
      </c>
      <c r="F66" s="1150">
        <v>50</v>
      </c>
    </row>
    <row r="67" spans="1:6" s="1101" customFormat="1" ht="36">
      <c r="A67" s="1150">
        <v>7</v>
      </c>
      <c r="B67" s="3428"/>
      <c r="C67" s="1064" t="s">
        <v>1516</v>
      </c>
      <c r="D67" s="1064" t="s">
        <v>1517</v>
      </c>
      <c r="E67" s="1135">
        <v>0.2</v>
      </c>
      <c r="F67" s="1150">
        <v>30</v>
      </c>
    </row>
    <row r="68" spans="1:6" s="1101" customFormat="1" ht="36">
      <c r="A68" s="1150">
        <v>8</v>
      </c>
      <c r="B68" s="3428"/>
      <c r="C68" s="1064" t="s">
        <v>1518</v>
      </c>
      <c r="D68" s="1064" t="s">
        <v>1519</v>
      </c>
      <c r="E68" s="1135">
        <v>0.2</v>
      </c>
      <c r="F68" s="1150">
        <v>30</v>
      </c>
    </row>
    <row r="69" spans="1:6" s="1101" customFormat="1" ht="36">
      <c r="A69" s="1150">
        <v>9</v>
      </c>
      <c r="B69" s="3428"/>
      <c r="C69" s="1064" t="s">
        <v>1520</v>
      </c>
      <c r="D69" s="1064" t="s">
        <v>1521</v>
      </c>
      <c r="E69" s="1135">
        <v>0.2</v>
      </c>
      <c r="F69" s="1150">
        <v>30</v>
      </c>
    </row>
    <row r="70" spans="1:6" s="1101" customFormat="1" ht="48">
      <c r="A70" s="1150">
        <v>10</v>
      </c>
      <c r="B70" s="3428"/>
      <c r="C70" s="1064" t="s">
        <v>1522</v>
      </c>
      <c r="D70" s="1064" t="s">
        <v>1523</v>
      </c>
      <c r="E70" s="1135">
        <v>0.2</v>
      </c>
      <c r="F70" s="1150">
        <v>30</v>
      </c>
    </row>
    <row r="71" spans="1:6" s="1101" customFormat="1" ht="48">
      <c r="A71" s="1150">
        <v>11</v>
      </c>
      <c r="B71" s="3428"/>
      <c r="C71" s="1064" t="s">
        <v>1524</v>
      </c>
      <c r="D71" s="1064" t="s">
        <v>1525</v>
      </c>
      <c r="E71" s="1135">
        <v>0.2</v>
      </c>
      <c r="F71" s="1150">
        <v>30</v>
      </c>
    </row>
    <row r="72" spans="1:6" s="1101" customFormat="1" ht="36">
      <c r="A72" s="1150">
        <v>12</v>
      </c>
      <c r="B72" s="3428"/>
      <c r="C72" s="1064" t="s">
        <v>1526</v>
      </c>
      <c r="D72" s="1064" t="s">
        <v>1527</v>
      </c>
      <c r="E72" s="1135">
        <v>0.5</v>
      </c>
      <c r="F72" s="1150">
        <v>80</v>
      </c>
    </row>
    <row r="73" spans="1:6" s="1101" customFormat="1" ht="24">
      <c r="A73" s="1150">
        <v>13</v>
      </c>
      <c r="B73" s="3428"/>
      <c r="C73" s="1064" t="s">
        <v>1528</v>
      </c>
      <c r="D73" s="1064" t="s">
        <v>1529</v>
      </c>
      <c r="E73" s="1135">
        <v>0.4</v>
      </c>
      <c r="F73" s="1150">
        <v>60</v>
      </c>
    </row>
    <row r="74" spans="1:6" s="1101" customFormat="1" ht="24">
      <c r="A74" s="1150">
        <v>14</v>
      </c>
      <c r="B74" s="3428"/>
      <c r="C74" s="1064" t="s">
        <v>1530</v>
      </c>
      <c r="D74" s="1064" t="s">
        <v>1531</v>
      </c>
      <c r="E74" s="1135">
        <v>0.2</v>
      </c>
      <c r="F74" s="1150">
        <v>30</v>
      </c>
    </row>
    <row r="75" spans="1:6" s="1101" customFormat="1" ht="24">
      <c r="A75" s="1150">
        <v>15</v>
      </c>
      <c r="B75" s="3428"/>
      <c r="C75" s="1064" t="s">
        <v>1532</v>
      </c>
      <c r="D75" s="1064" t="s">
        <v>1533</v>
      </c>
      <c r="E75" s="1135">
        <v>0.2</v>
      </c>
      <c r="F75" s="1150">
        <v>30</v>
      </c>
    </row>
    <row r="76" spans="1:6" s="1101" customFormat="1" ht="24">
      <c r="A76" s="1150">
        <v>16</v>
      </c>
      <c r="B76" s="3428" t="s">
        <v>1534</v>
      </c>
      <c r="C76" s="1064" t="s">
        <v>1535</v>
      </c>
      <c r="D76" s="1064" t="s">
        <v>1536</v>
      </c>
      <c r="E76" s="1135">
        <v>0.5</v>
      </c>
      <c r="F76" s="1150">
        <v>80</v>
      </c>
    </row>
    <row r="77" spans="1:6" s="1101" customFormat="1" ht="24">
      <c r="A77" s="1150">
        <v>17</v>
      </c>
      <c r="B77" s="3428"/>
      <c r="C77" s="1064" t="s">
        <v>1537</v>
      </c>
      <c r="D77" s="1064" t="s">
        <v>1538</v>
      </c>
      <c r="E77" s="1135">
        <v>0.5</v>
      </c>
      <c r="F77" s="1150">
        <v>80</v>
      </c>
    </row>
    <row r="78" spans="1:6" s="1101" customFormat="1" ht="24">
      <c r="A78" s="1150">
        <v>18</v>
      </c>
      <c r="B78" s="3428"/>
      <c r="C78" s="1064" t="s">
        <v>1539</v>
      </c>
      <c r="D78" s="1064" t="s">
        <v>1540</v>
      </c>
      <c r="E78" s="1135">
        <v>0.2</v>
      </c>
      <c r="F78" s="1150">
        <v>30</v>
      </c>
    </row>
    <row r="79" spans="1:6" s="1101" customFormat="1" ht="24">
      <c r="A79" s="1150">
        <v>19</v>
      </c>
      <c r="B79" s="3428"/>
      <c r="C79" s="1064" t="s">
        <v>1541</v>
      </c>
      <c r="D79" s="1064" t="s">
        <v>1542</v>
      </c>
      <c r="E79" s="1135">
        <v>0.5</v>
      </c>
      <c r="F79" s="1150">
        <v>80</v>
      </c>
    </row>
    <row r="80" spans="1:6" s="1101" customFormat="1" ht="36">
      <c r="A80" s="1150">
        <v>20</v>
      </c>
      <c r="B80" s="3428"/>
      <c r="C80" s="1064" t="s">
        <v>1543</v>
      </c>
      <c r="D80" s="1064" t="s">
        <v>1544</v>
      </c>
      <c r="E80" s="1135">
        <v>0.2</v>
      </c>
      <c r="F80" s="1150">
        <v>30</v>
      </c>
    </row>
    <row r="81" spans="1:6" s="1101" customFormat="1" ht="36">
      <c r="A81" s="1150">
        <v>21</v>
      </c>
      <c r="B81" s="3428"/>
      <c r="C81" s="1064" t="s">
        <v>1545</v>
      </c>
      <c r="D81" s="1064" t="s">
        <v>1546</v>
      </c>
      <c r="E81" s="1135">
        <v>0.2</v>
      </c>
      <c r="F81" s="1150">
        <v>30</v>
      </c>
    </row>
    <row r="82" spans="1:6" s="1101" customFormat="1" ht="48">
      <c r="A82" s="1150">
        <v>22</v>
      </c>
      <c r="B82" s="3428"/>
      <c r="C82" s="1064" t="s">
        <v>1547</v>
      </c>
      <c r="D82" s="1064" t="s">
        <v>1548</v>
      </c>
      <c r="E82" s="1135">
        <v>0.2</v>
      </c>
      <c r="F82" s="1150">
        <v>30</v>
      </c>
    </row>
    <row r="83" spans="1:6" s="1101" customFormat="1" ht="48">
      <c r="A83" s="1150">
        <v>23</v>
      </c>
      <c r="B83" s="3428"/>
      <c r="C83" s="1064" t="s">
        <v>1549</v>
      </c>
      <c r="D83" s="1064" t="s">
        <v>1550</v>
      </c>
      <c r="E83" s="1135">
        <v>0.2</v>
      </c>
      <c r="F83" s="1150">
        <v>30</v>
      </c>
    </row>
    <row r="84" spans="1:6" s="1101" customFormat="1" ht="36">
      <c r="A84" s="1150">
        <v>24</v>
      </c>
      <c r="B84" s="3428"/>
      <c r="C84" s="1064" t="s">
        <v>1551</v>
      </c>
      <c r="D84" s="1064" t="s">
        <v>1552</v>
      </c>
      <c r="E84" s="1135">
        <v>0.2</v>
      </c>
      <c r="F84" s="1150">
        <v>30</v>
      </c>
    </row>
    <row r="85" spans="1:6" s="1101" customFormat="1" ht="36">
      <c r="A85" s="1150">
        <v>25</v>
      </c>
      <c r="B85" s="3428"/>
      <c r="C85" s="1064" t="s">
        <v>1553</v>
      </c>
      <c r="D85" s="1064" t="s">
        <v>1554</v>
      </c>
      <c r="E85" s="1135">
        <v>0.5</v>
      </c>
      <c r="F85" s="1150">
        <v>80</v>
      </c>
    </row>
    <row r="86" spans="1:6" s="1101" customFormat="1" ht="36">
      <c r="A86" s="1150">
        <v>26</v>
      </c>
      <c r="B86" s="3428"/>
      <c r="C86" s="1064" t="s">
        <v>1555</v>
      </c>
      <c r="D86" s="1064" t="s">
        <v>1556</v>
      </c>
      <c r="E86" s="1135">
        <v>0.2</v>
      </c>
      <c r="F86" s="1150">
        <v>30</v>
      </c>
    </row>
    <row r="87" spans="1:6" s="1101" customFormat="1" ht="36">
      <c r="A87" s="1150">
        <v>27</v>
      </c>
      <c r="B87" s="3428"/>
      <c r="C87" s="1064" t="s">
        <v>1557</v>
      </c>
      <c r="D87" s="1064" t="s">
        <v>1558</v>
      </c>
      <c r="E87" s="1135">
        <v>0.2</v>
      </c>
      <c r="F87" s="1150">
        <v>30</v>
      </c>
    </row>
    <row r="88" spans="1:6" s="1101" customFormat="1" ht="36">
      <c r="A88" s="1150">
        <v>28</v>
      </c>
      <c r="B88" s="3428"/>
      <c r="C88" s="1064" t="s">
        <v>1559</v>
      </c>
      <c r="D88" s="1064" t="s">
        <v>1560</v>
      </c>
      <c r="E88" s="1135">
        <v>0.2</v>
      </c>
      <c r="F88" s="1150">
        <v>30</v>
      </c>
    </row>
    <row r="89" spans="1:6" s="1101" customFormat="1" ht="24">
      <c r="A89" s="1150">
        <v>29</v>
      </c>
      <c r="B89" s="3428"/>
      <c r="C89" s="1064" t="s">
        <v>1561</v>
      </c>
      <c r="D89" s="1064" t="s">
        <v>1562</v>
      </c>
      <c r="E89" s="1135">
        <v>0.2</v>
      </c>
      <c r="F89" s="1150">
        <v>30</v>
      </c>
    </row>
    <row r="90" spans="1:6" s="1101" customFormat="1" ht="24">
      <c r="A90" s="1150">
        <v>30</v>
      </c>
      <c r="B90" s="3428"/>
      <c r="C90" s="1064" t="s">
        <v>1563</v>
      </c>
      <c r="D90" s="1064" t="s">
        <v>1564</v>
      </c>
      <c r="E90" s="1135">
        <v>0.2</v>
      </c>
      <c r="F90" s="1150">
        <v>30</v>
      </c>
    </row>
    <row r="91" spans="1:6" s="1101" customFormat="1" ht="36">
      <c r="A91" s="1150">
        <v>31</v>
      </c>
      <c r="B91" s="3428"/>
      <c r="C91" s="1064" t="s">
        <v>1565</v>
      </c>
      <c r="D91" s="1064" t="s">
        <v>1566</v>
      </c>
      <c r="E91" s="1135">
        <v>0.2</v>
      </c>
      <c r="F91" s="1150">
        <v>30</v>
      </c>
    </row>
    <row r="92" spans="1:6" s="1101" customFormat="1" ht="24">
      <c r="A92" s="1150">
        <v>32</v>
      </c>
      <c r="B92" s="3428" t="s">
        <v>1567</v>
      </c>
      <c r="C92" s="1150" t="s">
        <v>1568</v>
      </c>
      <c r="D92" s="1064" t="s">
        <v>1569</v>
      </c>
      <c r="E92" s="1135">
        <v>0.2</v>
      </c>
      <c r="F92" s="1150">
        <v>30</v>
      </c>
    </row>
    <row r="93" spans="1:6" s="1101" customFormat="1" ht="36">
      <c r="A93" s="1150">
        <v>33</v>
      </c>
      <c r="B93" s="3428"/>
      <c r="C93" s="1150" t="s">
        <v>1570</v>
      </c>
      <c r="D93" s="1064" t="s">
        <v>1571</v>
      </c>
      <c r="E93" s="1135">
        <v>0.2</v>
      </c>
      <c r="F93" s="1150">
        <v>30</v>
      </c>
    </row>
    <row r="94" spans="1:6" s="1101" customFormat="1" ht="48">
      <c r="A94" s="1150">
        <v>34</v>
      </c>
      <c r="B94" s="3428"/>
      <c r="C94" s="1150" t="s">
        <v>1572</v>
      </c>
      <c r="D94" s="1064" t="s">
        <v>1573</v>
      </c>
      <c r="E94" s="1135">
        <v>0.2</v>
      </c>
      <c r="F94" s="1150">
        <v>30</v>
      </c>
    </row>
    <row r="95" spans="1:6" s="1101" customFormat="1" ht="36">
      <c r="A95" s="1150">
        <v>35</v>
      </c>
      <c r="B95" s="3428"/>
      <c r="C95" s="1150" t="s">
        <v>1574</v>
      </c>
      <c r="D95" s="1064" t="s">
        <v>1575</v>
      </c>
      <c r="E95" s="1135">
        <v>0.2</v>
      </c>
      <c r="F95" s="1150">
        <v>30</v>
      </c>
    </row>
    <row r="96" spans="1:6" s="1101" customFormat="1" ht="48">
      <c r="A96" s="1150">
        <v>36</v>
      </c>
      <c r="B96" s="3428"/>
      <c r="C96" s="1064" t="s">
        <v>1576</v>
      </c>
      <c r="D96" s="1064" t="s">
        <v>1577</v>
      </c>
      <c r="E96" s="1135">
        <v>0.2</v>
      </c>
      <c r="F96" s="1150">
        <v>30</v>
      </c>
    </row>
    <row r="97" spans="1:6" s="1101" customFormat="1" ht="36">
      <c r="A97" s="1150">
        <v>37</v>
      </c>
      <c r="B97" s="3428"/>
      <c r="C97" s="1150" t="s">
        <v>1578</v>
      </c>
      <c r="D97" s="1064" t="s">
        <v>1579</v>
      </c>
      <c r="E97" s="1135">
        <v>0.2</v>
      </c>
      <c r="F97" s="1150">
        <v>30</v>
      </c>
    </row>
    <row r="98" spans="1:6" s="1101" customFormat="1" ht="36">
      <c r="A98" s="1150">
        <v>38</v>
      </c>
      <c r="B98" s="3428"/>
      <c r="C98" s="1150" t="s">
        <v>1580</v>
      </c>
      <c r="D98" s="1064" t="s">
        <v>1581</v>
      </c>
      <c r="E98" s="1135">
        <v>0.2</v>
      </c>
      <c r="F98" s="1150">
        <v>30</v>
      </c>
    </row>
    <row r="99" spans="1:6" s="1101" customFormat="1" ht="36">
      <c r="A99" s="1150">
        <v>39</v>
      </c>
      <c r="B99" s="3428" t="s">
        <v>1582</v>
      </c>
      <c r="C99" s="1150" t="s">
        <v>1583</v>
      </c>
      <c r="D99" s="1064" t="s">
        <v>1584</v>
      </c>
      <c r="E99" s="1135">
        <v>0.3</v>
      </c>
      <c r="F99" s="1150">
        <v>50</v>
      </c>
    </row>
    <row r="100" spans="1:6" s="1101" customFormat="1" ht="24">
      <c r="A100" s="1150">
        <v>40</v>
      </c>
      <c r="B100" s="3428"/>
      <c r="C100" s="1150" t="s">
        <v>1585</v>
      </c>
      <c r="D100" s="1064" t="s">
        <v>1586</v>
      </c>
      <c r="E100" s="1135">
        <v>0.2</v>
      </c>
      <c r="F100" s="1150">
        <v>30</v>
      </c>
    </row>
    <row r="101" spans="1:6" s="1101" customFormat="1" ht="36">
      <c r="A101" s="1150">
        <v>41</v>
      </c>
      <c r="B101" s="3428"/>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428" t="s">
        <v>1597</v>
      </c>
      <c r="C105" s="1150" t="s">
        <v>1598</v>
      </c>
      <c r="D105" s="1064" t="s">
        <v>1599</v>
      </c>
      <c r="E105" s="1135">
        <v>0.2</v>
      </c>
      <c r="F105" s="1150">
        <v>30</v>
      </c>
    </row>
    <row r="106" spans="1:6" s="1101" customFormat="1" ht="36">
      <c r="A106" s="1150">
        <v>46</v>
      </c>
      <c r="B106" s="3428"/>
      <c r="C106" s="1150" t="s">
        <v>1600</v>
      </c>
      <c r="D106" s="1064" t="s">
        <v>1601</v>
      </c>
      <c r="E106" s="1135">
        <v>0.2</v>
      </c>
      <c r="F106" s="1150">
        <v>30</v>
      </c>
    </row>
    <row r="107" spans="1:6" s="1101" customFormat="1" ht="36">
      <c r="A107" s="1150">
        <v>47</v>
      </c>
      <c r="B107" s="3428" t="s">
        <v>1602</v>
      </c>
      <c r="C107" s="1150" t="s">
        <v>1603</v>
      </c>
      <c r="D107" s="1064" t="s">
        <v>1604</v>
      </c>
      <c r="E107" s="1135">
        <v>0.3</v>
      </c>
      <c r="F107" s="1150">
        <v>50</v>
      </c>
    </row>
    <row r="108" spans="1:6" s="1101" customFormat="1" ht="36">
      <c r="A108" s="1150">
        <v>48</v>
      </c>
      <c r="B108" s="3428"/>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428" t="s">
        <v>1613</v>
      </c>
      <c r="C111" s="1150" t="s">
        <v>1614</v>
      </c>
      <c r="D111" s="1064" t="s">
        <v>1615</v>
      </c>
      <c r="E111" s="1135">
        <v>0.2</v>
      </c>
      <c r="F111" s="1150">
        <v>30</v>
      </c>
    </row>
    <row r="112" spans="1:6" s="1101" customFormat="1" ht="24">
      <c r="A112" s="1150">
        <v>52</v>
      </c>
      <c r="B112" s="3428"/>
      <c r="C112" s="1150" t="s">
        <v>1616</v>
      </c>
      <c r="D112" s="1064" t="s">
        <v>1617</v>
      </c>
      <c r="E112" s="1135">
        <v>0.2</v>
      </c>
      <c r="F112" s="1150">
        <v>30</v>
      </c>
    </row>
    <row r="113" spans="1:14" s="1101" customFormat="1" ht="24">
      <c r="A113" s="1150">
        <v>53</v>
      </c>
      <c r="B113" s="3428"/>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428" t="s">
        <v>1626</v>
      </c>
      <c r="C116" s="1150" t="s">
        <v>1627</v>
      </c>
      <c r="D116" s="1064" t="s">
        <v>1628</v>
      </c>
      <c r="E116" s="1135">
        <v>0.2</v>
      </c>
      <c r="F116" s="1150">
        <v>30</v>
      </c>
    </row>
    <row r="117" spans="1:14" ht="36">
      <c r="A117" s="1150">
        <v>57</v>
      </c>
      <c r="B117" s="3428"/>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427" t="s">
        <v>1635</v>
      </c>
      <c r="B121" s="3427"/>
      <c r="C121" s="3427"/>
      <c r="D121" s="3427"/>
      <c r="E121" s="3427"/>
      <c r="F121" s="3427"/>
      <c r="G121" s="3427"/>
      <c r="H121" s="3427"/>
      <c r="I121" s="3427"/>
      <c r="J121" s="3427"/>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0" t="s">
        <v>1041</v>
      </c>
      <c r="B1" s="3440"/>
      <c r="C1" s="3440"/>
      <c r="D1" s="3440"/>
      <c r="E1" s="3440"/>
      <c r="F1" s="3440"/>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441" t="s">
        <v>1054</v>
      </c>
      <c r="B2" s="3441"/>
      <c r="C2" s="3441"/>
      <c r="D2" s="3441"/>
      <c r="E2" s="3441"/>
      <c r="F2" s="3441"/>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442"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443"/>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4" t="s">
        <v>2083</v>
      </c>
      <c r="B1" s="3444"/>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2963</v>
      </c>
      <c r="B1" s="3133"/>
      <c r="C1" s="3133"/>
      <c r="D1" s="3133"/>
      <c r="E1" s="3133"/>
      <c r="F1" s="3133"/>
    </row>
    <row r="2" spans="1:6" ht="14.25">
      <c r="A2" s="3134" t="s">
        <v>2957</v>
      </c>
      <c r="B2" s="3135" t="e">
        <f ca="1">SUMIF(B7:B14,"&lt;&gt;#ref!",B7:B14)</f>
        <v>#DIV/0!</v>
      </c>
      <c r="C2" s="3134" t="s">
        <v>2958</v>
      </c>
      <c r="D2" s="3133"/>
      <c r="E2" s="3133"/>
      <c r="F2" s="3133"/>
    </row>
    <row r="3" spans="1:6" ht="14.25">
      <c r="A3" s="3134" t="s">
        <v>2960</v>
      </c>
      <c r="B3" s="3135" t="e">
        <f ca="1">ROUND(B2*10000/E3,0)</f>
        <v>#DIV/0!</v>
      </c>
      <c r="C3" s="3134" t="s">
        <v>2082</v>
      </c>
      <c r="D3" s="3134" t="s">
        <v>2959</v>
      </c>
      <c r="E3" s="3135" t="e">
        <f ca="1">SUM(E7:E14)</f>
        <v>#REF!</v>
      </c>
      <c r="F3" s="3133"/>
    </row>
    <row r="4" spans="1:6" ht="14.25">
      <c r="A4" s="3134" t="s">
        <v>2967</v>
      </c>
      <c r="B4" s="3135" t="e">
        <f ca="1">ROUND(B2*10000/E4,0)</f>
        <v>#DIV/0!</v>
      </c>
      <c r="C4" s="3134" t="s">
        <v>2082</v>
      </c>
      <c r="D4" s="3134" t="s">
        <v>2968</v>
      </c>
      <c r="E4" s="3135" t="e">
        <f ca="1">SUM(F7:F14)</f>
        <v>#REF!</v>
      </c>
      <c r="F4" s="3133"/>
    </row>
    <row r="5" spans="1:6" ht="14.25">
      <c r="A5" s="3136"/>
      <c r="B5" s="1879"/>
      <c r="C5" s="1879"/>
      <c r="D5" s="1879"/>
      <c r="E5" s="1879"/>
      <c r="F5" s="3133"/>
    </row>
    <row r="6" spans="1:6" ht="28.5">
      <c r="A6" s="3137" t="s">
        <v>2964</v>
      </c>
      <c r="B6" s="3134" t="s">
        <v>2961</v>
      </c>
      <c r="C6" s="3135"/>
      <c r="D6" s="1879"/>
      <c r="E6" s="3134" t="s">
        <v>2962</v>
      </c>
      <c r="F6" s="3134" t="s">
        <v>2966</v>
      </c>
    </row>
    <row r="7" spans="1:6" ht="14.25">
      <c r="A7" s="259" t="s">
        <v>2965</v>
      </c>
      <c r="B7" s="3138" t="e">
        <f ca="1">SUMIF(INDIRECT("'"&amp;A7&amp;"'"&amp;"!A:A"),"总价",INDIRECT("'"&amp;A7&amp;"'"&amp;"!B:B"))</f>
        <v>#DIV/0!</v>
      </c>
      <c r="C7" s="3134" t="s">
        <v>2958</v>
      </c>
      <c r="D7" s="1879"/>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2958</v>
      </c>
      <c r="D8" s="1879"/>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2958</v>
      </c>
      <c r="D9" s="1879"/>
      <c r="E9" s="3139" t="e">
        <f t="shared" ca="1" si="1"/>
        <v>#REF!</v>
      </c>
      <c r="F9" s="3139" t="e">
        <f t="shared" ca="1" si="2"/>
        <v>#REF!</v>
      </c>
    </row>
    <row r="10" spans="1:6" ht="14.25">
      <c r="A10" s="259"/>
      <c r="B10" s="3138" t="e">
        <f t="shared" ca="1" si="0"/>
        <v>#REF!</v>
      </c>
      <c r="C10" s="3134" t="s">
        <v>2958</v>
      </c>
      <c r="D10" s="1879"/>
      <c r="E10" s="3139" t="e">
        <f t="shared" ca="1" si="1"/>
        <v>#REF!</v>
      </c>
      <c r="F10" s="3139" t="e">
        <f t="shared" ca="1" si="2"/>
        <v>#REF!</v>
      </c>
    </row>
    <row r="11" spans="1:6" ht="14.25">
      <c r="A11" s="259"/>
      <c r="B11" s="3138" t="e">
        <f t="shared" ca="1" si="0"/>
        <v>#REF!</v>
      </c>
      <c r="C11" s="3134" t="s">
        <v>2958</v>
      </c>
      <c r="D11" s="1879"/>
      <c r="E11" s="3139" t="e">
        <f t="shared" ca="1" si="1"/>
        <v>#REF!</v>
      </c>
      <c r="F11" s="3139" t="e">
        <f t="shared" ca="1" si="2"/>
        <v>#REF!</v>
      </c>
    </row>
    <row r="12" spans="1:6" ht="14.25">
      <c r="A12" s="259"/>
      <c r="B12" s="3138" t="e">
        <f t="shared" ca="1" si="0"/>
        <v>#REF!</v>
      </c>
      <c r="C12" s="3134" t="s">
        <v>2958</v>
      </c>
      <c r="D12" s="1879"/>
      <c r="E12" s="3139" t="e">
        <f t="shared" ca="1" si="1"/>
        <v>#REF!</v>
      </c>
      <c r="F12" s="3139" t="e">
        <f t="shared" ca="1" si="2"/>
        <v>#REF!</v>
      </c>
    </row>
    <row r="13" spans="1:6" ht="14.25">
      <c r="A13" s="259"/>
      <c r="B13" s="3138" t="e">
        <f t="shared" ca="1" si="0"/>
        <v>#REF!</v>
      </c>
      <c r="C13" s="3134" t="s">
        <v>2958</v>
      </c>
      <c r="D13" s="1879"/>
      <c r="E13" s="3139" t="e">
        <f t="shared" ca="1" si="1"/>
        <v>#REF!</v>
      </c>
      <c r="F13" s="3139" t="e">
        <f t="shared" ca="1" si="2"/>
        <v>#REF!</v>
      </c>
    </row>
    <row r="14" spans="1:6" ht="14.25">
      <c r="A14" s="3132"/>
      <c r="B14" s="3138" t="e">
        <f t="shared" ca="1" si="0"/>
        <v>#REF!</v>
      </c>
      <c r="C14" s="3134" t="s">
        <v>2958</v>
      </c>
      <c r="D14" s="1879"/>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69" t="s">
        <v>629</v>
      </c>
      <c r="B1" s="735"/>
      <c r="C1" s="770"/>
      <c r="D1" s="2048"/>
      <c r="E1" s="2409" t="s">
        <v>2379</v>
      </c>
      <c r="F1" s="2410">
        <f ca="1">J54</f>
        <v>0</v>
      </c>
      <c r="G1" s="771">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630</v>
      </c>
      <c r="B2" s="772">
        <f ca="1">IF(ISERROR(C45+J31),0,C45+J31)</f>
        <v>0</v>
      </c>
      <c r="C2" s="1347"/>
      <c r="D2" s="2053"/>
      <c r="E2" s="2054"/>
      <c r="F2" s="2054"/>
      <c r="G2" s="1587"/>
      <c r="H2" s="1359"/>
      <c r="I2" s="2055"/>
      <c r="J2" s="2055"/>
      <c r="K2" s="2056"/>
      <c r="L2" s="2055"/>
      <c r="M2" s="2055"/>
    </row>
    <row r="3" spans="1:25" ht="18" customHeight="1">
      <c r="A3" s="1642" t="s">
        <v>1688</v>
      </c>
      <c r="B3" s="1388">
        <f ca="1">ROUND(B2*10000/'数据-汇总表'!E3,0)</f>
        <v>0</v>
      </c>
      <c r="C3" s="1347"/>
      <c r="D3" s="2053"/>
      <c r="E3" s="2054"/>
      <c r="F3" s="2054"/>
      <c r="G3" s="1587"/>
      <c r="H3" s="773" t="s">
        <v>696</v>
      </c>
      <c r="I3" s="2055"/>
      <c r="J3" s="2055"/>
      <c r="K3" s="2056"/>
      <c r="L3" s="2055"/>
      <c r="M3" s="2055"/>
    </row>
    <row r="4" spans="1:25" ht="18" customHeight="1">
      <c r="A4" s="1643" t="s">
        <v>697</v>
      </c>
      <c r="B4" s="1348">
        <f ca="1">ROUND(B2*10000/'数据-汇总表'!D3,0)</f>
        <v>0</v>
      </c>
      <c r="C4" s="425"/>
      <c r="D4" s="2053"/>
      <c r="E4" s="2054"/>
      <c r="F4" s="2054"/>
      <c r="G4" s="1587"/>
      <c r="H4" s="773"/>
      <c r="I4" s="2055"/>
      <c r="J4" s="2055"/>
      <c r="K4" s="2056"/>
      <c r="L4" s="2055"/>
      <c r="M4" s="2055"/>
    </row>
    <row r="5" spans="1:25" ht="18" customHeight="1" thickBot="1">
      <c r="A5" s="1644"/>
      <c r="B5" s="427">
        <f ca="1">ROUND(B2/('数据-汇总表'!D3/666.67),0)</f>
        <v>0</v>
      </c>
      <c r="C5" s="428" t="s">
        <v>698</v>
      </c>
      <c r="D5" s="2053"/>
      <c r="E5" s="2054"/>
      <c r="F5" s="2054"/>
      <c r="G5" s="1587"/>
      <c r="H5" s="773"/>
      <c r="I5" s="2055"/>
      <c r="J5" s="2055"/>
      <c r="K5" s="2056"/>
      <c r="L5" s="2055"/>
      <c r="M5" s="2055"/>
    </row>
    <row r="6" spans="1:25" ht="18" customHeight="1">
      <c r="A6" s="1826" t="s">
        <v>699</v>
      </c>
      <c r="B6" s="1818" t="s">
        <v>700</v>
      </c>
      <c r="C6" s="1818" t="s">
        <v>633</v>
      </c>
      <c r="D6" s="1818" t="s">
        <v>634</v>
      </c>
      <c r="E6" s="776" t="s">
        <v>635</v>
      </c>
      <c r="F6" s="777"/>
      <c r="G6" s="1589"/>
      <c r="H6" s="1826" t="s">
        <v>631</v>
      </c>
      <c r="I6" s="1818" t="s">
        <v>632</v>
      </c>
      <c r="J6" s="1818" t="s">
        <v>633</v>
      </c>
      <c r="K6" s="1818" t="s">
        <v>634</v>
      </c>
      <c r="L6" s="776" t="s">
        <v>635</v>
      </c>
      <c r="M6" s="777"/>
    </row>
    <row r="7" spans="1:25" ht="18" customHeight="1">
      <c r="A7" s="778">
        <v>1</v>
      </c>
      <c r="B7" s="779" t="s">
        <v>2464</v>
      </c>
      <c r="C7" s="53">
        <f ca="1">C8+C12+C14</f>
        <v>0</v>
      </c>
      <c r="D7" s="2518" t="s">
        <v>2467</v>
      </c>
      <c r="E7" s="2512"/>
      <c r="F7" s="2513"/>
      <c r="G7" s="1589"/>
      <c r="H7" s="778">
        <v>1</v>
      </c>
      <c r="I7" s="779" t="s">
        <v>2464</v>
      </c>
      <c r="J7" s="53">
        <f ca="1">J8+J12+J14</f>
        <v>0</v>
      </c>
      <c r="K7" s="2518" t="s">
        <v>2467</v>
      </c>
      <c r="L7" s="2512"/>
      <c r="M7" s="2513"/>
    </row>
    <row r="8" spans="1:25" ht="18" customHeight="1">
      <c r="A8" s="1828" t="s">
        <v>1826</v>
      </c>
      <c r="B8" s="3446" t="s">
        <v>2469</v>
      </c>
      <c r="C8" s="1823">
        <f ca="1">ROUND(F8*F10*F9*(1-F11)/10000,0)</f>
        <v>0</v>
      </c>
      <c r="D8" s="1820" t="s">
        <v>2541</v>
      </c>
      <c r="E8" s="61" t="s">
        <v>638</v>
      </c>
      <c r="F8" s="782">
        <f ca="1">INDIRECT("'数据-取费表'!u"&amp;$G$1)</f>
        <v>0</v>
      </c>
      <c r="G8" s="1589"/>
      <c r="H8" s="2526" t="s">
        <v>1826</v>
      </c>
      <c r="I8" s="3446" t="s">
        <v>2469</v>
      </c>
      <c r="J8" s="780">
        <f ca="1">ROUND(M8*M10*M9*(1-M11)/10000,0)</f>
        <v>0</v>
      </c>
      <c r="K8" s="338" t="s">
        <v>2541</v>
      </c>
      <c r="L8" s="781" t="s">
        <v>1740</v>
      </c>
      <c r="M8" s="782">
        <f ca="1">INDIRECT("'数据-取费表'!z"&amp;$G$1)</f>
        <v>0</v>
      </c>
    </row>
    <row r="9" spans="1:25" ht="18" customHeight="1">
      <c r="A9" s="2522"/>
      <c r="B9" s="3447"/>
      <c r="C9" s="1824"/>
      <c r="D9" s="1821"/>
      <c r="E9" s="61" t="s">
        <v>639</v>
      </c>
      <c r="F9" s="782">
        <f ca="1">IF(INDIRECT("'数据-取费表'!ah"&amp;$G$1)="",INDIRECT("'数据-取费表'!k"&amp;$G$1),INDIRECT("'数据-取费表'!ah"&amp;$G$1))</f>
        <v>0</v>
      </c>
      <c r="G9" s="1589"/>
      <c r="H9" s="2511"/>
      <c r="I9" s="3447"/>
      <c r="J9" s="785"/>
      <c r="K9" s="786"/>
      <c r="L9" s="781" t="s">
        <v>1741</v>
      </c>
      <c r="M9" s="782">
        <f ca="1">F9</f>
        <v>0</v>
      </c>
    </row>
    <row r="10" spans="1:25" ht="18" customHeight="1">
      <c r="A10" s="2515"/>
      <c r="B10" s="3448"/>
      <c r="C10" s="1824"/>
      <c r="D10" s="1821"/>
      <c r="E10" s="61" t="s">
        <v>640</v>
      </c>
      <c r="F10" s="782">
        <f ca="1">INDIRECT("'数据-取费表'!ai"&amp;$G$1)</f>
        <v>0</v>
      </c>
      <c r="G10" s="1589"/>
      <c r="H10" s="2511"/>
      <c r="I10" s="3448"/>
      <c r="J10" s="785"/>
      <c r="K10" s="786"/>
      <c r="L10" s="781" t="s">
        <v>1742</v>
      </c>
      <c r="M10" s="782">
        <f ca="1">INDIRECT("'数据-取费表'!ai"&amp;$G$1)</f>
        <v>0</v>
      </c>
    </row>
    <row r="11" spans="1:25" ht="18" customHeight="1">
      <c r="A11" s="783"/>
      <c r="B11" s="3449"/>
      <c r="C11" s="1824"/>
      <c r="D11" s="1821"/>
      <c r="E11" s="61" t="s">
        <v>641</v>
      </c>
      <c r="F11" s="791">
        <f ca="1">INDIRECT("'数据-取费表'!w"&amp;$G$1)</f>
        <v>0</v>
      </c>
      <c r="G11" s="1589"/>
      <c r="H11" s="2527"/>
      <c r="I11" s="3448"/>
      <c r="J11" s="785"/>
      <c r="K11" s="786"/>
      <c r="L11" s="792" t="s">
        <v>1743</v>
      </c>
      <c r="M11" s="793">
        <f ca="1">INDIRECT("'数据-取费表'!ab"&amp;$G$1)</f>
        <v>0</v>
      </c>
    </row>
    <row r="12" spans="1:25" ht="18" customHeight="1">
      <c r="A12" s="1828" t="s">
        <v>1827</v>
      </c>
      <c r="B12" s="2516" t="s">
        <v>2465</v>
      </c>
      <c r="C12" s="796">
        <f ca="1">ROUND(IF(F12="押一",F8*F10*F9/12*F13,IF(F12="押二",F8*F10*F9/12*2*F13,IF(F12="押三",F8*F10*F9/12*3*F13,C13*F13)))/10000,0)</f>
        <v>0</v>
      </c>
      <c r="D12" s="2523" t="s">
        <v>2472</v>
      </c>
      <c r="E12" s="2520" t="s">
        <v>2470</v>
      </c>
      <c r="F12" s="2643"/>
      <c r="G12" s="1589"/>
      <c r="H12" s="2583" t="s">
        <v>1827</v>
      </c>
      <c r="I12" s="2588" t="s">
        <v>2465</v>
      </c>
      <c r="J12" s="780">
        <f ca="1">ROUND(IF(M12="押一",M8*M10*M9/12*M13,IF(M12="押二",M8*M10*M9/12*2*M13,IF(M12="押三",M8*M10*M9/12*3*M13,J13*M13)))/10000,0)</f>
        <v>0</v>
      </c>
      <c r="K12" s="2523" t="s">
        <v>2472</v>
      </c>
      <c r="L12" s="2520" t="s">
        <v>2470</v>
      </c>
      <c r="M12" s="2643"/>
    </row>
    <row r="13" spans="1:25" ht="18" customHeight="1">
      <c r="A13" s="787"/>
      <c r="B13" s="2517" t="s">
        <v>2580</v>
      </c>
      <c r="C13" s="2521"/>
      <c r="D13" s="786"/>
      <c r="E13" s="2520" t="s">
        <v>2462</v>
      </c>
      <c r="F13" s="793">
        <f ca="1">'数据-取费表'!B39</f>
        <v>1.4999999999999999E-2</v>
      </c>
      <c r="G13" s="1589"/>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89"/>
      <c r="H14" s="2573" t="s">
        <v>2474</v>
      </c>
      <c r="I14" s="2586" t="s">
        <v>2466</v>
      </c>
      <c r="J14" s="2587"/>
      <c r="K14" s="2562"/>
      <c r="L14" s="2563"/>
      <c r="M14" s="2576"/>
    </row>
    <row r="15" spans="1:25" ht="18" customHeight="1" thickTop="1">
      <c r="A15" s="1827" t="s">
        <v>1876</v>
      </c>
      <c r="B15" s="1825" t="s">
        <v>642</v>
      </c>
      <c r="C15" s="789">
        <f ca="1">ROUND(C31*F15,0)</f>
        <v>0</v>
      </c>
      <c r="D15" s="1832" t="s">
        <v>643</v>
      </c>
      <c r="E15" s="792" t="s">
        <v>644</v>
      </c>
      <c r="F15" s="797">
        <f ca="1">INDIRECT("'数据-取费表'!y"&amp;$G$1)</f>
        <v>0</v>
      </c>
      <c r="G15" s="1589"/>
      <c r="H15" s="1827" t="s">
        <v>1828</v>
      </c>
      <c r="I15" s="1825" t="s">
        <v>645</v>
      </c>
      <c r="J15" s="1817">
        <f ca="1">ROUND(J16*J17,0)</f>
        <v>0</v>
      </c>
      <c r="K15" s="1819" t="s">
        <v>643</v>
      </c>
      <c r="L15" s="798"/>
      <c r="M15" s="799"/>
    </row>
    <row r="16" spans="1:25" ht="18" customHeight="1">
      <c r="A16" s="800" t="s">
        <v>1877</v>
      </c>
      <c r="B16" s="781" t="s">
        <v>646</v>
      </c>
      <c r="C16" s="801">
        <f ca="1">INDIRECT("'数据-取费表'!m"&amp;$G$1)+INDIRECT("'数据-取费表'!t"&amp;$G$1)</f>
        <v>0</v>
      </c>
      <c r="D16" s="1977" t="s">
        <v>647</v>
      </c>
      <c r="E16" s="1978"/>
      <c r="F16" s="802"/>
      <c r="G16" s="1589"/>
      <c r="H16" s="800" t="s">
        <v>2073</v>
      </c>
      <c r="I16" s="2229" t="s">
        <v>2834</v>
      </c>
      <c r="J16" s="53">
        <f ca="1">C31</f>
        <v>0</v>
      </c>
      <c r="K16" s="26"/>
      <c r="L16" s="798"/>
      <c r="M16" s="799"/>
    </row>
    <row r="17" spans="1:25" s="2062" customFormat="1" ht="18" customHeight="1">
      <c r="A17" s="800" t="s">
        <v>1851</v>
      </c>
      <c r="B17" s="781" t="s">
        <v>648</v>
      </c>
      <c r="C17" s="53">
        <f ca="1">ROUND(C16*F17,0)</f>
        <v>0</v>
      </c>
      <c r="D17" s="803" t="s">
        <v>649</v>
      </c>
      <c r="E17" s="803" t="s">
        <v>650</v>
      </c>
      <c r="F17" s="804">
        <f>'数据-取费表'!B33</f>
        <v>0.03</v>
      </c>
      <c r="G17" s="1590"/>
      <c r="H17" s="800" t="s">
        <v>2074</v>
      </c>
      <c r="I17" s="781" t="s">
        <v>644</v>
      </c>
      <c r="J17" s="805">
        <f ca="1">INDIRECT("'数据-取费表'!ad"&amp;$G$1)</f>
        <v>0</v>
      </c>
      <c r="K17" s="26"/>
      <c r="L17" s="798"/>
      <c r="M17" s="799"/>
      <c r="N17" s="2061"/>
      <c r="O17" s="2061"/>
      <c r="P17" s="2061"/>
      <c r="Q17" s="2061"/>
      <c r="R17" s="2061"/>
      <c r="S17" s="2061"/>
      <c r="T17" s="2061"/>
      <c r="U17" s="2061"/>
      <c r="V17" s="2061"/>
      <c r="W17" s="2061"/>
      <c r="X17" s="2061"/>
      <c r="Y17" s="2061"/>
    </row>
    <row r="18" spans="1:25" ht="18" customHeight="1">
      <c r="A18" s="800" t="s">
        <v>1852</v>
      </c>
      <c r="B18" s="781" t="s">
        <v>651</v>
      </c>
      <c r="C18" s="53">
        <f ca="1">ROUND(INDIRECT("'数据-取费表'!m"&amp;$G$1)*F18,0)</f>
        <v>0</v>
      </c>
      <c r="D18" s="781" t="s">
        <v>649</v>
      </c>
      <c r="E18" s="781" t="s">
        <v>650</v>
      </c>
      <c r="F18" s="806">
        <f ca="1">IF(INDIRECT("'数据-取费表'!c"&amp;$G$1)="住宅",'数据-取费表'!B34,0)</f>
        <v>0</v>
      </c>
      <c r="G18" s="1589"/>
      <c r="H18" s="794" t="s">
        <v>1829</v>
      </c>
      <c r="I18" s="795" t="s">
        <v>652</v>
      </c>
      <c r="J18" s="796">
        <f ca="1">ROUND(J19+J24+J25+J26,0)</f>
        <v>0</v>
      </c>
      <c r="K18" s="26" t="s">
        <v>653</v>
      </c>
      <c r="L18" s="1980"/>
      <c r="M18" s="56"/>
    </row>
    <row r="19" spans="1:25" s="2062" customFormat="1" ht="18" customHeight="1">
      <c r="A19" s="800" t="s">
        <v>1853</v>
      </c>
      <c r="B19" s="781" t="s">
        <v>654</v>
      </c>
      <c r="C19" s="53">
        <f ca="1">ROUND(F19*(INDIRECT("'数据-取费表'!k"&amp;$G$1)+INDIRECT("'数据-取费表'!S"&amp;$G$1))/10000,0)</f>
        <v>0</v>
      </c>
      <c r="D19" s="781" t="s">
        <v>655</v>
      </c>
      <c r="E19" s="781" t="s">
        <v>656</v>
      </c>
      <c r="F19" s="56">
        <f>'数据-取费表'!B35</f>
        <v>200</v>
      </c>
      <c r="G19" s="1590"/>
      <c r="H19" s="800" t="s">
        <v>2073</v>
      </c>
      <c r="I19" s="781" t="s">
        <v>657</v>
      </c>
      <c r="J19" s="53">
        <f ca="1">ROUND(IF(项目基本情况!B11="自然人",J7*M19,J20+J21+J22),0)</f>
        <v>0</v>
      </c>
      <c r="K19" s="1977" t="s">
        <v>658</v>
      </c>
      <c r="L19" s="1975" t="s">
        <v>659</v>
      </c>
      <c r="M19" s="807">
        <f ca="1">IF(项目基本情况!B11="企业","",IF(INDIRECT("'数据-取费表'!c"&amp;$G$1)="住宅",5%,IF(M8*M9*M10/12/(1+'数据-取费表'!C42)&gt;20000,12%,7%)))</f>
        <v>7.0000000000000007E-2</v>
      </c>
      <c r="N19" s="2061"/>
      <c r="O19" s="2061"/>
      <c r="P19" s="2061"/>
      <c r="Q19" s="2061"/>
      <c r="R19" s="2061"/>
      <c r="S19" s="2061"/>
      <c r="T19" s="2061"/>
      <c r="U19" s="2061"/>
      <c r="V19" s="2061"/>
      <c r="W19" s="2061"/>
      <c r="X19" s="2061"/>
      <c r="Y19" s="2061"/>
    </row>
    <row r="20" spans="1:25" s="2062" customFormat="1" ht="18" customHeight="1">
      <c r="A20" s="800" t="s">
        <v>1854</v>
      </c>
      <c r="B20" s="781" t="s">
        <v>660</v>
      </c>
      <c r="C20" s="53">
        <f ca="1">ROUND(C16*F20,0)</f>
        <v>0</v>
      </c>
      <c r="D20" s="781" t="s">
        <v>649</v>
      </c>
      <c r="E20" s="781" t="s">
        <v>650</v>
      </c>
      <c r="F20" s="806">
        <f>'数据-取费表'!B36</f>
        <v>1.4999999999999999E-2</v>
      </c>
      <c r="G20" s="1590"/>
      <c r="H20" s="800" t="s">
        <v>1833</v>
      </c>
      <c r="I20" s="781" t="s">
        <v>661</v>
      </c>
      <c r="J20" s="53">
        <f ca="1">ROUND(J7*M20/1.05,1)</f>
        <v>0</v>
      </c>
      <c r="K20" s="1975" t="s">
        <v>662</v>
      </c>
      <c r="L20" s="781" t="s">
        <v>650</v>
      </c>
      <c r="M20" s="806">
        <f>'数据-取费表'!B41</f>
        <v>5.6000000000000001E-2</v>
      </c>
      <c r="N20" s="2061"/>
      <c r="O20" s="2061"/>
      <c r="P20" s="2061"/>
      <c r="Q20" s="2061"/>
      <c r="R20" s="2061"/>
      <c r="S20" s="2061"/>
      <c r="T20" s="2061"/>
      <c r="U20" s="2061"/>
      <c r="V20" s="2061"/>
      <c r="W20" s="2061"/>
      <c r="X20" s="2061"/>
      <c r="Y20" s="2061"/>
    </row>
    <row r="21" spans="1:25" ht="18" customHeight="1">
      <c r="A21" s="800" t="s">
        <v>1878</v>
      </c>
      <c r="B21" s="781" t="s">
        <v>663</v>
      </c>
      <c r="C21" s="53">
        <f ca="1">SUM(C16:C20)</f>
        <v>0</v>
      </c>
      <c r="D21" s="260" t="s">
        <v>664</v>
      </c>
      <c r="E21" s="1980"/>
      <c r="F21" s="56"/>
      <c r="G21" s="1589"/>
      <c r="H21" s="1828" t="s">
        <v>1851</v>
      </c>
      <c r="I21" s="781" t="s">
        <v>665</v>
      </c>
      <c r="J21" s="53">
        <f ca="1">IF(K21="按租金收入计税",ROUND(J7*M21,1),ROUND(C31*F35*0.7,1))</f>
        <v>0</v>
      </c>
      <c r="K21" s="808" t="s">
        <v>666</v>
      </c>
      <c r="L21" s="781" t="s">
        <v>650</v>
      </c>
      <c r="M21" s="806">
        <f>IF(K21="按租金收入计税",'数据-取费表'!B51,'数据-取费表'!B50)</f>
        <v>1.2E-2</v>
      </c>
    </row>
    <row r="22" spans="1:25" s="2062" customFormat="1" ht="18" customHeight="1">
      <c r="A22" s="800" t="s">
        <v>1879</v>
      </c>
      <c r="B22" s="781" t="s">
        <v>667</v>
      </c>
      <c r="C22" s="53">
        <f ca="1">ROUND(C21*F22,0)</f>
        <v>0</v>
      </c>
      <c r="D22" s="809" t="s">
        <v>668</v>
      </c>
      <c r="E22" s="781" t="s">
        <v>650</v>
      </c>
      <c r="F22" s="806">
        <f>'数据-取费表'!B37</f>
        <v>1.4999999999999999E-2</v>
      </c>
      <c r="G22" s="1590"/>
      <c r="H22" s="1830" t="s">
        <v>1852</v>
      </c>
      <c r="I22" s="1820" t="s">
        <v>669</v>
      </c>
      <c r="J22" s="54">
        <f ca="1">ROUND(M22*M23/10000,0)</f>
        <v>0</v>
      </c>
      <c r="K22" s="811" t="s">
        <v>670</v>
      </c>
      <c r="L22" s="781" t="s">
        <v>671</v>
      </c>
      <c r="M22" s="637">
        <f>'数据-取费表'!B52</f>
        <v>4</v>
      </c>
      <c r="N22" s="2061"/>
      <c r="O22" s="2061"/>
      <c r="P22" s="2061"/>
      <c r="Q22" s="2061"/>
      <c r="R22" s="2061"/>
      <c r="S22" s="2061"/>
      <c r="T22" s="2061"/>
      <c r="U22" s="2061"/>
      <c r="V22" s="2061"/>
      <c r="W22" s="2061"/>
      <c r="X22" s="2061"/>
      <c r="Y22" s="2061"/>
    </row>
    <row r="23" spans="1:25" s="2062" customFormat="1" ht="18" customHeight="1">
      <c r="A23" s="800" t="s">
        <v>1880</v>
      </c>
      <c r="B23" s="781" t="s">
        <v>672</v>
      </c>
      <c r="C23" s="53" t="s">
        <v>1</v>
      </c>
      <c r="D23" s="809" t="s">
        <v>673</v>
      </c>
      <c r="E23" s="781" t="s">
        <v>674</v>
      </c>
      <c r="F23" s="806">
        <f>'数据-取费表'!B38</f>
        <v>0.02</v>
      </c>
      <c r="G23" s="1590"/>
      <c r="H23" s="1831"/>
      <c r="I23" s="1822"/>
      <c r="J23" s="69"/>
      <c r="K23" s="813"/>
      <c r="L23" s="781" t="s">
        <v>675</v>
      </c>
      <c r="M23" s="782">
        <f ca="1">INDIRECT("'数据-取费表'!r"&amp;$G$1)</f>
        <v>0</v>
      </c>
      <c r="N23" s="2061"/>
      <c r="O23" s="2061"/>
      <c r="P23" s="2061"/>
      <c r="Q23" s="2061"/>
      <c r="R23" s="2061"/>
      <c r="S23" s="2061"/>
      <c r="T23" s="2061"/>
      <c r="U23" s="2061"/>
      <c r="V23" s="2061"/>
      <c r="W23" s="2061"/>
      <c r="X23" s="2061"/>
      <c r="Y23" s="2061"/>
    </row>
    <row r="24" spans="1:25" ht="18" customHeight="1">
      <c r="A24" s="800" t="s">
        <v>1881</v>
      </c>
      <c r="B24" s="781" t="s">
        <v>676</v>
      </c>
      <c r="C24" s="53"/>
      <c r="D24" s="2594" t="str">
        <f>IF(F25&lt;=1,"单利计息。","复利计息。")&amp;"建造成本、管理费用、销售费用产生的利息。"</f>
        <v>复利计息。建造成本、管理费用、销售费用产生的利息。</v>
      </c>
      <c r="E24" s="1980"/>
      <c r="F24" s="56"/>
      <c r="G24" s="1589"/>
      <c r="H24" s="1829" t="s">
        <v>2074</v>
      </c>
      <c r="I24" s="781" t="s">
        <v>677</v>
      </c>
      <c r="J24" s="53">
        <f ca="1">ROUND(J16*M24,0)</f>
        <v>0</v>
      </c>
      <c r="K24" s="1975" t="s">
        <v>678</v>
      </c>
      <c r="L24" s="781" t="s">
        <v>650</v>
      </c>
      <c r="M24" s="814">
        <f ca="1">INDIRECT("'数据-取费表'!Ak"&amp;$G$1)</f>
        <v>0</v>
      </c>
    </row>
    <row r="25" spans="1:25" s="2062" customFormat="1" ht="18" customHeight="1">
      <c r="A25" s="800" t="s">
        <v>1877</v>
      </c>
      <c r="B25" s="781" t="s">
        <v>2442</v>
      </c>
      <c r="C25" s="53">
        <f ca="1">ROUND(IF('数据-取费表'!B22&lt;=1,(C21+C22)*F26*F25/2,(C21+C22)*(POWER((1+F26),F25/2)-1)),0)</f>
        <v>0</v>
      </c>
      <c r="D25" s="2593" t="str">
        <f>IF(F25&lt;=1,"(建造成本+管理费用)×利率×(建设周期÷2)","(建造成本+管理费用)×((1+利率)^(建设周期÷2)-1)")</f>
        <v>(建造成本+管理费用)×((1+利率)^(建设周期÷2)-1)</v>
      </c>
      <c r="E25" s="781" t="s">
        <v>679</v>
      </c>
      <c r="F25" s="637">
        <f>'数据-取费表'!B20</f>
        <v>3.5</v>
      </c>
      <c r="G25" s="1590"/>
      <c r="H25" s="800" t="s">
        <v>1880</v>
      </c>
      <c r="I25" s="781" t="s">
        <v>680</v>
      </c>
      <c r="J25" s="53">
        <f ca="1">ROUND(J15*M25,0)</f>
        <v>0</v>
      </c>
      <c r="K25" s="1975" t="s">
        <v>681</v>
      </c>
      <c r="L25" s="781" t="s">
        <v>650</v>
      </c>
      <c r="M25" s="815">
        <f ca="1">INDIRECT("'数据-取费表'!Al"&amp;$G$1)</f>
        <v>0</v>
      </c>
      <c r="N25" s="2061"/>
      <c r="O25" s="2061"/>
      <c r="P25" s="2061"/>
      <c r="Q25" s="2061"/>
      <c r="R25" s="2061"/>
      <c r="S25" s="2061"/>
      <c r="T25" s="2061"/>
      <c r="U25" s="2061"/>
      <c r="V25" s="2061"/>
      <c r="W25" s="2061"/>
      <c r="X25" s="2061"/>
      <c r="Y25" s="2061"/>
    </row>
    <row r="26" spans="1:25" s="2062" customFormat="1" ht="18" customHeight="1">
      <c r="A26" s="800" t="s">
        <v>1851</v>
      </c>
      <c r="B26" s="781" t="s">
        <v>682</v>
      </c>
      <c r="C26" s="53">
        <f ca="1">ROUND(IF('数据-取费表'!B22&lt;=1,F23*F26*F25/2,F23*(POWER((1+F26),F25/2)-1)),4)</f>
        <v>1.6999999999999999E-3</v>
      </c>
      <c r="D26" s="2593" t="str">
        <f>IF(F25&lt;=1,"销售费用×利率×(建设周期÷2)","销售费用×((1+利率)^(建设周期÷2)-1)")</f>
        <v>销售费用×((1+利率)^(建设周期÷2)-1)</v>
      </c>
      <c r="E26" s="781" t="s">
        <v>683</v>
      </c>
      <c r="F26" s="816">
        <f ca="1">'数据-取费表'!B40</f>
        <v>4.7500000000000001E-2</v>
      </c>
      <c r="G26" s="1590"/>
      <c r="H26" s="800" t="s">
        <v>1881</v>
      </c>
      <c r="I26" s="781" t="s">
        <v>667</v>
      </c>
      <c r="J26" s="53">
        <f ca="1">ROUND(J7*M26,0)</f>
        <v>0</v>
      </c>
      <c r="K26" s="1975" t="s">
        <v>684</v>
      </c>
      <c r="L26" s="781" t="s">
        <v>650</v>
      </c>
      <c r="M26" s="791">
        <f ca="1">INDIRECT("'数据-取费表'!Am"&amp;$G$1)</f>
        <v>0</v>
      </c>
      <c r="N26" s="2061"/>
      <c r="O26" s="2061"/>
      <c r="P26" s="2061"/>
      <c r="Q26" s="2061"/>
      <c r="R26" s="2061"/>
      <c r="S26" s="2061"/>
      <c r="T26" s="2061"/>
      <c r="U26" s="2061"/>
      <c r="V26" s="2061"/>
      <c r="W26" s="2061"/>
      <c r="X26" s="2061"/>
      <c r="Y26" s="2061"/>
    </row>
    <row r="27" spans="1:25" ht="18" customHeight="1">
      <c r="A27" s="800" t="s">
        <v>1883</v>
      </c>
      <c r="B27" s="781" t="s">
        <v>685</v>
      </c>
      <c r="C27" s="53"/>
      <c r="D27" s="260" t="s">
        <v>686</v>
      </c>
      <c r="E27" s="1980"/>
      <c r="F27" s="56"/>
      <c r="G27" s="1589"/>
      <c r="H27" s="794" t="s">
        <v>1830</v>
      </c>
      <c r="I27" s="3034" t="s">
        <v>2831</v>
      </c>
      <c r="J27" s="796">
        <f ca="1">J7-J18</f>
        <v>0</v>
      </c>
      <c r="K27" s="1977" t="s">
        <v>701</v>
      </c>
      <c r="L27" s="1979"/>
      <c r="M27" s="817"/>
    </row>
    <row r="28" spans="1:25" ht="18" customHeight="1">
      <c r="A28" s="800" t="s">
        <v>1877</v>
      </c>
      <c r="B28" s="781" t="s">
        <v>2443</v>
      </c>
      <c r="C28" s="53">
        <f ca="1">ROUND((C21+C22)*F28,0)</f>
        <v>0</v>
      </c>
      <c r="D28" s="809" t="s">
        <v>702</v>
      </c>
      <c r="E28" s="792" t="s">
        <v>703</v>
      </c>
      <c r="F28" s="791">
        <f ca="1">INDIRECT("'数据-取费表'!q"&amp;$G$1)</f>
        <v>0</v>
      </c>
      <c r="G28" s="1589"/>
      <c r="H28" s="778" t="s">
        <v>1839</v>
      </c>
      <c r="I28" s="779" t="s">
        <v>704</v>
      </c>
      <c r="J28" s="780">
        <f ca="1">IF(J7&lt;&gt;0,ROUND(J27*(1-((1+M30)/(1+M28))^M29)/(M28-M30),0),0)</f>
        <v>0</v>
      </c>
      <c r="K28" s="811" t="s">
        <v>705</v>
      </c>
      <c r="L28" s="781" t="s">
        <v>706</v>
      </c>
      <c r="M28" s="791">
        <f ca="1">INDIRECT("'数据-取费表'!I"&amp;$G$1)</f>
        <v>0</v>
      </c>
    </row>
    <row r="29" spans="1:25" ht="18" customHeight="1">
      <c r="A29" s="800" t="s">
        <v>1851</v>
      </c>
      <c r="B29" s="781" t="s">
        <v>687</v>
      </c>
      <c r="C29" s="53">
        <f ca="1">ROUND(F23*F28,4)</f>
        <v>0</v>
      </c>
      <c r="D29" s="809" t="s">
        <v>707</v>
      </c>
      <c r="E29" s="803"/>
      <c r="F29" s="804"/>
      <c r="G29" s="1589"/>
      <c r="H29" s="783"/>
      <c r="I29" s="784"/>
      <c r="J29" s="785"/>
      <c r="K29" s="818" t="s">
        <v>708</v>
      </c>
      <c r="L29" s="781" t="s">
        <v>709</v>
      </c>
      <c r="M29" s="819">
        <f ca="1">INDIRECT("'数据-取费表'!ag"&amp;$G$1)</f>
        <v>0</v>
      </c>
    </row>
    <row r="30" spans="1:25" s="2062" customFormat="1" ht="18" customHeight="1">
      <c r="A30" s="800" t="s">
        <v>1884</v>
      </c>
      <c r="B30" s="781" t="s">
        <v>688</v>
      </c>
      <c r="C30" s="53">
        <f>ROUND(F30/(1+'数据-取费表'!C42),4)</f>
        <v>5.33E-2</v>
      </c>
      <c r="D30" s="809" t="s">
        <v>710</v>
      </c>
      <c r="E30" s="781" t="s">
        <v>650</v>
      </c>
      <c r="F30" s="806">
        <f>'数据-取费表'!B41</f>
        <v>5.6000000000000001E-2</v>
      </c>
      <c r="G30" s="1590"/>
      <c r="H30" s="787"/>
      <c r="I30" s="788"/>
      <c r="J30" s="789"/>
      <c r="K30" s="813"/>
      <c r="L30" s="781" t="s">
        <v>711</v>
      </c>
      <c r="M30" s="791">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2832</v>
      </c>
      <c r="C31" s="2566">
        <f ca="1">ROUND((C21+C22+C25+C28)/(1-F23-C26-C29-C30),0)</f>
        <v>0</v>
      </c>
      <c r="D31" s="2567"/>
      <c r="E31" s="2568"/>
      <c r="F31" s="2569"/>
      <c r="G31" s="1590"/>
      <c r="H31" s="820" t="s">
        <v>1874</v>
      </c>
      <c r="I31" s="3035" t="s">
        <v>2833</v>
      </c>
      <c r="J31" s="822">
        <f ca="1">ROUND(J28/(1+F45)^F46,0)</f>
        <v>0</v>
      </c>
      <c r="K31" s="823" t="s">
        <v>689</v>
      </c>
      <c r="L31" s="824"/>
      <c r="M31" s="825">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89">
        <f ca="1">ROUND(C33+C38+C39+C40,0)</f>
        <v>0</v>
      </c>
      <c r="D32" s="1819" t="s">
        <v>653</v>
      </c>
      <c r="E32" s="2509"/>
      <c r="F32" s="2513"/>
      <c r="G32" s="2060"/>
      <c r="H32" s="2063"/>
      <c r="I32" s="2064"/>
      <c r="J32" s="2065"/>
      <c r="K32" s="2066"/>
      <c r="L32" s="2067"/>
      <c r="M32" s="2068"/>
    </row>
    <row r="33" spans="1:18" ht="18" customHeight="1">
      <c r="A33" s="800" t="s">
        <v>1878</v>
      </c>
      <c r="B33" s="781" t="s">
        <v>657</v>
      </c>
      <c r="C33" s="53">
        <f ca="1">ROUND(IF(项目基本情况!B11="自然人",C7*F33,C34+C35+C36),1)</f>
        <v>0</v>
      </c>
      <c r="D33" s="1977" t="s">
        <v>658</v>
      </c>
      <c r="E33" s="1975" t="s">
        <v>691</v>
      </c>
      <c r="F33" s="807">
        <f ca="1">IF(项目基本情况!B11="企业","",IF(INDIRECT("'数据-取费表'!c"&amp;$G$1)="住宅",5%,IF(F8*F9*F10/12/(1+'数据-取费表'!C42)&gt;20000,12%,7%)))</f>
        <v>7.0000000000000007E-2</v>
      </c>
      <c r="G33" s="2060"/>
      <c r="H33" s="2063"/>
      <c r="I33" s="2064"/>
      <c r="J33" s="2065"/>
      <c r="K33" s="2066"/>
      <c r="L33" s="2067"/>
      <c r="M33" s="2068"/>
    </row>
    <row r="34" spans="1:18" ht="18" customHeight="1">
      <c r="A34" s="800" t="s">
        <v>1877</v>
      </c>
      <c r="B34" s="781" t="s">
        <v>661</v>
      </c>
      <c r="C34" s="53">
        <f ca="1">ROUND(C7*F34/1.05,1)</f>
        <v>0</v>
      </c>
      <c r="D34" s="1975" t="s">
        <v>662</v>
      </c>
      <c r="E34" s="781" t="s">
        <v>650</v>
      </c>
      <c r="F34" s="806">
        <f>'数据-取费表'!B41</f>
        <v>5.6000000000000001E-2</v>
      </c>
      <c r="G34" s="2060"/>
      <c r="H34" s="2069"/>
      <c r="I34" s="2070"/>
      <c r="J34" s="2071"/>
      <c r="K34" s="2072"/>
      <c r="L34" s="2073"/>
      <c r="M34" s="2074"/>
    </row>
    <row r="35" spans="1:18" ht="18" customHeight="1">
      <c r="A35" s="800" t="s">
        <v>1851</v>
      </c>
      <c r="B35" s="781" t="s">
        <v>665</v>
      </c>
      <c r="C35" s="53">
        <f ca="1">IF(D35="按租金收入计税",ROUND(C7*F35,1),IF(D35="按房产原值计税",ROUND(C31*F35*0.7,1),INDIRECT("'数据-取费表'!Aj"&amp;$G$1)))</f>
        <v>0</v>
      </c>
      <c r="D35" s="808" t="s">
        <v>1682</v>
      </c>
      <c r="E35" s="781" t="s">
        <v>650</v>
      </c>
      <c r="F35" s="806">
        <f>IF(D35="按租金收入计税",'数据-取费表'!B51,'数据-取费表'!B50)</f>
        <v>1.2E-2</v>
      </c>
      <c r="G35" s="2060"/>
      <c r="H35" s="2075"/>
      <c r="I35" s="2075"/>
      <c r="J35" s="2075"/>
      <c r="K35" s="2076"/>
      <c r="L35" s="2075"/>
      <c r="M35" s="2075"/>
    </row>
    <row r="36" spans="1:18" ht="18" customHeight="1">
      <c r="A36" s="810" t="s">
        <v>1882</v>
      </c>
      <c r="B36" s="338" t="s">
        <v>669</v>
      </c>
      <c r="C36" s="54">
        <f ca="1">ROUND(F36*F37/10000,1)</f>
        <v>0</v>
      </c>
      <c r="D36" s="811" t="s">
        <v>670</v>
      </c>
      <c r="E36" s="781" t="s">
        <v>671</v>
      </c>
      <c r="F36" s="637">
        <f>'数据-取费表'!B52</f>
        <v>4</v>
      </c>
      <c r="G36" s="2060"/>
      <c r="H36" s="2063"/>
      <c r="I36" s="3445"/>
      <c r="J36" s="2077"/>
      <c r="K36" s="2078"/>
      <c r="L36" s="2077"/>
      <c r="M36" s="2077"/>
    </row>
    <row r="37" spans="1:18" ht="18" customHeight="1">
      <c r="A37" s="812"/>
      <c r="B37" s="790"/>
      <c r="C37" s="69"/>
      <c r="D37" s="813"/>
      <c r="E37" s="781" t="s">
        <v>675</v>
      </c>
      <c r="F37" s="782">
        <f ca="1">INDIRECT("'数据-取费表'!r"&amp;$G$1)</f>
        <v>0</v>
      </c>
      <c r="G37" s="2060"/>
      <c r="H37" s="2063"/>
      <c r="I37" s="3445"/>
      <c r="J37" s="2075"/>
      <c r="K37" s="2076"/>
      <c r="L37" s="2075"/>
      <c r="M37" s="2075"/>
    </row>
    <row r="38" spans="1:18" ht="18" customHeight="1">
      <c r="A38" s="800" t="s">
        <v>1879</v>
      </c>
      <c r="B38" s="781" t="s">
        <v>677</v>
      </c>
      <c r="C38" s="53">
        <f ca="1">ROUND(C31*F38,1)</f>
        <v>0</v>
      </c>
      <c r="D38" s="1975" t="s">
        <v>692</v>
      </c>
      <c r="E38" s="781" t="s">
        <v>650</v>
      </c>
      <c r="F38" s="814">
        <f ca="1">INDIRECT("'数据-取费表'!Ak"&amp;$G$1)</f>
        <v>0</v>
      </c>
      <c r="G38" s="2060"/>
      <c r="H38" s="2075"/>
      <c r="I38" s="2079"/>
      <c r="J38" s="1986"/>
      <c r="K38" s="2080"/>
      <c r="L38" s="2075"/>
      <c r="M38" s="2075"/>
    </row>
    <row r="39" spans="1:18" ht="18" customHeight="1">
      <c r="A39" s="800" t="s">
        <v>1880</v>
      </c>
      <c r="B39" s="781" t="s">
        <v>680</v>
      </c>
      <c r="C39" s="53">
        <f ca="1">ROUND(C15*F39,1)</f>
        <v>0</v>
      </c>
      <c r="D39" s="1975" t="s">
        <v>681</v>
      </c>
      <c r="E39" s="781" t="s">
        <v>650</v>
      </c>
      <c r="F39" s="815">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49"/>
      <c r="D41" s="1350"/>
      <c r="E41" s="1350"/>
      <c r="F41" s="1351"/>
      <c r="G41" s="2060"/>
      <c r="H41" s="2060"/>
      <c r="I41" s="2060"/>
      <c r="J41" s="2060"/>
      <c r="K41" s="2081"/>
      <c r="L41" s="2060"/>
      <c r="M41" s="2060"/>
    </row>
    <row r="42" spans="1:18" ht="18" customHeight="1">
      <c r="A42" s="800" t="s">
        <v>1878</v>
      </c>
      <c r="B42" s="832" t="s">
        <v>694</v>
      </c>
      <c r="C42" s="826">
        <f ca="1">C7-C32</f>
        <v>0</v>
      </c>
      <c r="D42" s="1977" t="s">
        <v>695</v>
      </c>
      <c r="E42" s="1979"/>
      <c r="F42" s="817"/>
      <c r="G42" s="2060"/>
      <c r="H42" s="2060"/>
      <c r="I42" s="2060"/>
      <c r="J42" s="2060"/>
      <c r="K42" s="2081"/>
      <c r="L42" s="2060"/>
      <c r="M42" s="2060"/>
    </row>
    <row r="43" spans="1:18" ht="18" customHeight="1">
      <c r="A43" s="800" t="s">
        <v>1879</v>
      </c>
      <c r="B43" s="832" t="s">
        <v>712</v>
      </c>
      <c r="C43" s="833">
        <f ca="1">ROUND(C15*F43,0)</f>
        <v>0</v>
      </c>
      <c r="D43" s="1352" t="s">
        <v>713</v>
      </c>
      <c r="E43" s="3152" t="s">
        <v>2976</v>
      </c>
      <c r="F43" s="3153">
        <f ca="1">INDIRECT("'数据-取费表'!j"&amp;$G$1)</f>
        <v>0</v>
      </c>
      <c r="G43" s="2060"/>
      <c r="H43" s="2060"/>
      <c r="I43" s="2060"/>
      <c r="J43" s="2060"/>
      <c r="K43" s="2081"/>
      <c r="L43" s="2060"/>
      <c r="M43" s="2060"/>
    </row>
    <row r="44" spans="1:18" ht="18" customHeight="1">
      <c r="A44" s="800" t="s">
        <v>1880</v>
      </c>
      <c r="B44" s="832" t="s">
        <v>714</v>
      </c>
      <c r="C44" s="1353">
        <f ca="1">C42-C43</f>
        <v>0</v>
      </c>
      <c r="D44" s="460" t="s">
        <v>715</v>
      </c>
      <c r="E44" s="461"/>
      <c r="F44" s="462"/>
      <c r="G44" s="2060"/>
      <c r="H44" s="2060"/>
      <c r="I44" s="2060"/>
      <c r="J44" s="2060"/>
      <c r="K44" s="2081"/>
      <c r="L44" s="2060"/>
      <c r="M44" s="2060"/>
    </row>
    <row r="45" spans="1:18" ht="18" customHeight="1">
      <c r="A45" s="800" t="s">
        <v>1881</v>
      </c>
      <c r="B45" s="1352" t="s">
        <v>716</v>
      </c>
      <c r="C45" s="3061">
        <f ca="1">ROUND(-PV(F45,F46,C44,0),0)</f>
        <v>0</v>
      </c>
      <c r="D45" s="1354" t="s">
        <v>717</v>
      </c>
      <c r="E45" s="803" t="s">
        <v>718</v>
      </c>
      <c r="F45" s="827">
        <f ca="1">INDIRECT("'数据-取费表'!h"&amp;$G$1)</f>
        <v>0</v>
      </c>
      <c r="G45" s="2060"/>
      <c r="H45" s="2060"/>
      <c r="I45" s="2060"/>
      <c r="J45" s="2060"/>
      <c r="K45" s="2081"/>
      <c r="L45" s="2060"/>
      <c r="M45" s="2060"/>
    </row>
    <row r="46" spans="1:18" ht="18" customHeight="1" thickBot="1">
      <c r="A46" s="828"/>
      <c r="B46" s="1355"/>
      <c r="C46" s="1356"/>
      <c r="D46" s="1357"/>
      <c r="E46" s="3154" t="s">
        <v>2979</v>
      </c>
      <c r="F46" s="825">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2347</v>
      </c>
      <c r="J47" s="2377"/>
      <c r="K47" s="2378"/>
      <c r="L47" s="2379" t="str">
        <f ca="1">IF(M48="住宅",0,IF(L49&gt;J52,L61,J61))</f>
        <v>0</v>
      </c>
      <c r="O47" s="2416" t="s">
        <v>2415</v>
      </c>
      <c r="P47" s="1589"/>
      <c r="Q47" s="1601"/>
      <c r="R47" s="1589"/>
    </row>
    <row r="48" spans="1:18" s="2057" customFormat="1" ht="18" customHeight="1" thickBot="1">
      <c r="A48" s="2082"/>
      <c r="C48" s="2085"/>
      <c r="D48" s="2086"/>
      <c r="E48" s="2086"/>
      <c r="F48" s="2087"/>
      <c r="G48" s="2088"/>
      <c r="I48" s="2380" t="s">
        <v>2348</v>
      </c>
      <c r="J48" s="2385"/>
      <c r="K48" s="2386" t="s">
        <v>2354</v>
      </c>
      <c r="L48" s="2387">
        <f ca="1">INDIRECT("'数据-取费表'!d"&amp;$G$1)</f>
        <v>0</v>
      </c>
      <c r="M48" s="3149" t="str">
        <f>IF(ISNUMBER(FIND("住宅",C1)),"住宅","非住宅")</f>
        <v>非住宅</v>
      </c>
      <c r="O48" s="2417" t="s">
        <v>2380</v>
      </c>
      <c r="P48" s="2418" t="s">
        <v>2381</v>
      </c>
      <c r="Q48" s="2419" t="s">
        <v>2382</v>
      </c>
      <c r="R48" s="2418" t="s">
        <v>2383</v>
      </c>
    </row>
    <row r="49" spans="1:18" s="2057" customFormat="1" ht="18" customHeight="1" thickBot="1">
      <c r="A49" s="2082"/>
      <c r="D49" s="2089"/>
      <c r="E49" s="2090"/>
      <c r="F49" s="2087"/>
      <c r="G49" s="2088"/>
      <c r="H49" s="2091"/>
      <c r="I49" s="2381" t="s">
        <v>2349</v>
      </c>
      <c r="J49" s="2388"/>
      <c r="K49" s="2389" t="s">
        <v>2356</v>
      </c>
      <c r="L49" s="2390">
        <f ca="1">INDIRECT("'数据-取费表'!f"&amp;$G$1)</f>
        <v>0</v>
      </c>
      <c r="O49" s="2420" t="s">
        <v>2384</v>
      </c>
      <c r="P49" s="2421" t="s">
        <v>2410</v>
      </c>
      <c r="Q49" s="2422">
        <f ca="1">C41+J31</f>
        <v>0</v>
      </c>
      <c r="R49" s="2421" t="s">
        <v>2385</v>
      </c>
    </row>
    <row r="50" spans="1:18" s="2057" customFormat="1" ht="18" customHeight="1" thickBot="1">
      <c r="A50" s="2082"/>
      <c r="D50" s="2092"/>
      <c r="E50" s="2092"/>
      <c r="F50" s="2086"/>
      <c r="G50" s="2093"/>
      <c r="H50" s="2091"/>
      <c r="I50" s="2381" t="s">
        <v>2350</v>
      </c>
      <c r="J50" s="2391"/>
      <c r="K50" s="2392" t="s">
        <v>2357</v>
      </c>
      <c r="L50" s="2393"/>
      <c r="O50" s="2420" t="s">
        <v>2386</v>
      </c>
      <c r="P50" s="2421" t="s">
        <v>2411</v>
      </c>
      <c r="Q50" s="2422" t="str">
        <f ca="1">J61</f>
        <v>0</v>
      </c>
      <c r="R50" s="2421" t="s">
        <v>2387</v>
      </c>
    </row>
    <row r="51" spans="1:18" s="2057" customFormat="1" ht="18" customHeight="1" thickBot="1">
      <c r="A51" s="2094"/>
      <c r="D51" s="2092"/>
      <c r="E51" s="2092"/>
      <c r="F51" s="2083"/>
      <c r="H51" s="2091"/>
      <c r="I51" s="2381" t="s">
        <v>2351</v>
      </c>
      <c r="J51" s="2394">
        <f>SUMPRODUCT((I64:I66=J48)*(J63:L63=J49)*(J64:L66))</f>
        <v>0</v>
      </c>
      <c r="K51" s="2392" t="s">
        <v>2358</v>
      </c>
      <c r="L51" s="2393"/>
      <c r="O51" s="2423" t="s">
        <v>2388</v>
      </c>
      <c r="P51" s="2421" t="s">
        <v>2412</v>
      </c>
      <c r="Q51" s="2422">
        <f ca="1">C31</f>
        <v>0</v>
      </c>
      <c r="R51" s="2421" t="s">
        <v>2385</v>
      </c>
    </row>
    <row r="52" spans="1:18" s="2057" customFormat="1" ht="18" customHeight="1" thickBot="1">
      <c r="A52" s="2094"/>
      <c r="F52" s="2083"/>
      <c r="I52" s="2382" t="s">
        <v>2352</v>
      </c>
      <c r="J52" s="2395">
        <f>IF(J50="",J51,J50+J51-YEAR('数据-取费表'!B3))</f>
        <v>0</v>
      </c>
      <c r="K52" s="2381" t="s">
        <v>2359</v>
      </c>
      <c r="L52" s="2396">
        <f ca="1">ROUND(-PV(INDIRECT("'数据-取费表'!h"&amp;$G$1),L49,(C40-C14*J36),0),0)</f>
        <v>0</v>
      </c>
      <c r="O52" s="2423" t="s">
        <v>2389</v>
      </c>
      <c r="P52" s="2421" t="s">
        <v>2390</v>
      </c>
      <c r="Q52" s="2424" t="e">
        <f ca="1">J59</f>
        <v>#VALUE!</v>
      </c>
      <c r="R52" s="2425"/>
    </row>
    <row r="53" spans="1:18" s="2057" customFormat="1" ht="18" customHeight="1" thickBot="1">
      <c r="A53" s="2094"/>
      <c r="F53" s="2083"/>
      <c r="I53" s="2383" t="s">
        <v>2426</v>
      </c>
      <c r="J53" s="2397"/>
      <c r="K53" s="2383" t="s">
        <v>2425</v>
      </c>
      <c r="L53" s="2397"/>
      <c r="O53" s="2423" t="s">
        <v>2391</v>
      </c>
      <c r="P53" s="2421" t="s">
        <v>2392</v>
      </c>
      <c r="Q53" s="2424">
        <f>J53</f>
        <v>0</v>
      </c>
      <c r="R53" s="2425"/>
    </row>
    <row r="54" spans="1:18" s="2057" customFormat="1" ht="43.5" thickBot="1">
      <c r="A54" s="2094"/>
      <c r="I54" s="2384" t="s">
        <v>2353</v>
      </c>
      <c r="J54" s="2398">
        <f ca="1">IF(M48="住宅",J52,IF(J52&gt;L49,L49-'数据-取费表'!B25,J52))</f>
        <v>0</v>
      </c>
      <c r="K54" s="3450"/>
      <c r="L54" s="3451"/>
      <c r="O54" s="2423" t="s">
        <v>2393</v>
      </c>
      <c r="P54" s="2421" t="s">
        <v>2394</v>
      </c>
      <c r="Q54" s="2422">
        <f ca="1">J54</f>
        <v>0</v>
      </c>
      <c r="R54" s="2421" t="s">
        <v>2395</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2396</v>
      </c>
      <c r="P55" s="2421" t="s">
        <v>2413</v>
      </c>
      <c r="Q55" s="2422">
        <f ca="1">Q49+Q50</f>
        <v>0</v>
      </c>
      <c r="R55" s="2425" t="s">
        <v>2397</v>
      </c>
    </row>
    <row r="56" spans="1:18" s="2057" customFormat="1" ht="16.5" thickBot="1">
      <c r="A56" s="2094"/>
      <c r="B56" s="2095"/>
      <c r="C56" s="2095"/>
      <c r="I56" s="3126" t="s">
        <v>2360</v>
      </c>
      <c r="J56" s="3150" t="e">
        <f ca="1">ROUND(IF(J48="钢混",J58/J51,1-(1-2%)*(J51-J58)/J51),3)</f>
        <v>#VALUE!</v>
      </c>
      <c r="K56" s="2399" t="s">
        <v>2361</v>
      </c>
      <c r="L56" s="2400"/>
      <c r="O56" s="2426" t="s">
        <v>2416</v>
      </c>
      <c r="P56" s="1589"/>
      <c r="Q56" s="1601"/>
      <c r="R56" s="1589"/>
    </row>
    <row r="57" spans="1:18" s="2057" customFormat="1" ht="43.5" thickBot="1">
      <c r="A57" s="2094"/>
      <c r="B57" s="2095"/>
      <c r="C57" s="2095"/>
      <c r="I57" s="2401" t="s">
        <v>2362</v>
      </c>
      <c r="J57" s="3149" t="s">
        <v>1680</v>
      </c>
      <c r="K57" s="2381" t="s">
        <v>2367</v>
      </c>
      <c r="L57" s="2390">
        <f ca="1">IF(L49&lt;J52,"——",L49-J52)</f>
        <v>0</v>
      </c>
      <c r="O57" s="2417" t="s">
        <v>2380</v>
      </c>
      <c r="P57" s="2418" t="s">
        <v>2381</v>
      </c>
      <c r="Q57" s="2419" t="s">
        <v>2382</v>
      </c>
      <c r="R57" s="2418" t="s">
        <v>2383</v>
      </c>
    </row>
    <row r="58" spans="1:18" s="2057" customFormat="1" ht="29.25" thickBot="1">
      <c r="A58" s="2094"/>
      <c r="B58" s="2095"/>
      <c r="C58" s="2095"/>
      <c r="I58" s="2402" t="s">
        <v>2363</v>
      </c>
      <c r="J58" s="2404" t="str">
        <f ca="1">IF(OR(M48="住宅",J52&lt;L49,J57="是"),"——",J52-L49)</f>
        <v>——</v>
      </c>
      <c r="K58" s="2381" t="s">
        <v>2368</v>
      </c>
      <c r="L58" s="2390">
        <f ca="1">IF(L49&lt;J52,"——",IF(L56="比较法",L50,IF(L56="基准地价",L51,L52)))</f>
        <v>0</v>
      </c>
      <c r="O58" s="2420" t="s">
        <v>2384</v>
      </c>
      <c r="P58" s="2421" t="s">
        <v>2410</v>
      </c>
      <c r="Q58" s="2422">
        <f ca="1">C41+J31</f>
        <v>0</v>
      </c>
      <c r="R58" s="2421" t="s">
        <v>2385</v>
      </c>
    </row>
    <row r="59" spans="1:18" s="2057" customFormat="1" ht="29.25" thickBot="1">
      <c r="A59" s="2094"/>
      <c r="B59" s="2095"/>
      <c r="C59" s="2095"/>
      <c r="I59" s="2402" t="s">
        <v>2364</v>
      </c>
      <c r="J59" s="3151" t="e">
        <f ca="1">IF(J56&lt;0.4,0.4,J56)</f>
        <v>#VALUE!</v>
      </c>
      <c r="K59" s="2381" t="s">
        <v>2369</v>
      </c>
      <c r="L59" s="2390">
        <f ca="1">IF(ISERROR(POWER(1+L53,L48-L49)*(POWER(1+L53,L49)-1)/(POWER(1+L53,L48)-1)),0,POWER(1+L53,L48-L49)*(POWER(1+L53,L49)-1)/(POWER(1+L53,L48)-1))</f>
        <v>0</v>
      </c>
      <c r="O59" s="2420" t="s">
        <v>2386</v>
      </c>
      <c r="P59" s="2421" t="s">
        <v>2417</v>
      </c>
      <c r="Q59" s="2422" t="e">
        <f ca="1">L61</f>
        <v>#DIV/0!</v>
      </c>
      <c r="R59" s="2425" t="s">
        <v>2419</v>
      </c>
    </row>
    <row r="60" spans="1:18" s="2057" customFormat="1" ht="29.25" thickBot="1">
      <c r="A60" s="2094"/>
      <c r="B60" s="2095"/>
      <c r="C60" s="2095"/>
      <c r="I60" s="2402" t="s">
        <v>2365</v>
      </c>
      <c r="J60" s="2404" t="str">
        <f ca="1">IF(OR(M48="住宅",J52&lt;L49,J57="是"),"——",ROUND(C30*J59,0))</f>
        <v>——</v>
      </c>
      <c r="K60" s="2381" t="s">
        <v>2370</v>
      </c>
      <c r="L60" s="2390">
        <f ca="1">IF(ISERROR(POWER(1+L53,L48-J52)*(POWER(1+L53,J52)-1)/(POWER(1+L53,L48)-1)),0,POWER(1+L53,L48-J52)*(POWER(1+L53,J52)-1)/(POWER(1+L53,L48)-1))</f>
        <v>0</v>
      </c>
      <c r="O60" s="2423" t="s">
        <v>2388</v>
      </c>
      <c r="P60" s="2421" t="s">
        <v>2418</v>
      </c>
      <c r="Q60" s="2422">
        <f>IF(L56="比较法",L50,IF(L56="基准地价",L51,0))</f>
        <v>0</v>
      </c>
      <c r="R60" s="2421" t="s">
        <v>2385</v>
      </c>
    </row>
    <row r="61" spans="1:18" s="2057" customFormat="1" ht="15.75" thickBot="1">
      <c r="A61" s="2094"/>
      <c r="B61" s="2095"/>
      <c r="C61" s="2095"/>
      <c r="I61" s="2403" t="s">
        <v>2366</v>
      </c>
      <c r="J61" s="2405" t="str">
        <f ca="1">IF(OR(M48="住宅",J52&lt;L49,J57="是"),"0",ROUND(J60/(1+J53)^J54,0))</f>
        <v>0</v>
      </c>
      <c r="K61" s="2406" t="s">
        <v>2371</v>
      </c>
      <c r="L61" s="2405" t="e">
        <f ca="1">IF(OR(M48="住宅",L49&lt;J52),0,ROUND(L58*(L59/L60-1),0))</f>
        <v>#DIV/0!</v>
      </c>
      <c r="O61" s="2423" t="s">
        <v>2389</v>
      </c>
      <c r="P61" s="2421" t="s">
        <v>2398</v>
      </c>
      <c r="Q61" s="2424">
        <f>L53</f>
        <v>0</v>
      </c>
      <c r="R61" s="2425"/>
    </row>
    <row r="62" spans="1:18" s="2057" customFormat="1" ht="20.25" thickBot="1">
      <c r="A62" s="2094"/>
      <c r="B62" s="2095"/>
      <c r="C62" s="2095"/>
      <c r="K62" s="2084"/>
      <c r="O62" s="2423" t="s">
        <v>2391</v>
      </c>
      <c r="P62" s="2421" t="s">
        <v>2399</v>
      </c>
      <c r="Q62" s="2422">
        <f ca="1">L59</f>
        <v>0</v>
      </c>
      <c r="R62" s="2425" t="s">
        <v>2400</v>
      </c>
    </row>
    <row r="63" spans="1:18" s="2057" customFormat="1" ht="20.25" thickBot="1">
      <c r="A63" s="2094"/>
      <c r="B63" s="2095"/>
      <c r="C63" s="2095"/>
      <c r="I63" s="2407" t="s">
        <v>2372</v>
      </c>
      <c r="J63" s="2408" t="s">
        <v>2373</v>
      </c>
      <c r="K63" s="2408" t="s">
        <v>2374</v>
      </c>
      <c r="L63" s="2408" t="s">
        <v>2355</v>
      </c>
      <c r="M63" s="3128" t="s">
        <v>2955</v>
      </c>
      <c r="O63" s="2423" t="s">
        <v>2393</v>
      </c>
      <c r="P63" s="2421" t="s">
        <v>2401</v>
      </c>
      <c r="Q63" s="2422">
        <f ca="1">L60</f>
        <v>0</v>
      </c>
      <c r="R63" s="2425" t="s">
        <v>2402</v>
      </c>
    </row>
    <row r="64" spans="1:18" s="2057" customFormat="1" ht="15.75" thickBot="1">
      <c r="A64" s="2094"/>
      <c r="B64" s="2095"/>
      <c r="C64" s="2095"/>
      <c r="I64" s="2407" t="s">
        <v>2375</v>
      </c>
      <c r="J64" s="2408">
        <v>70</v>
      </c>
      <c r="K64" s="2408">
        <v>50</v>
      </c>
      <c r="L64" s="2408">
        <v>80</v>
      </c>
      <c r="M64" s="3129">
        <v>0.02</v>
      </c>
      <c r="O64" s="2420" t="s">
        <v>2396</v>
      </c>
      <c r="P64" s="2421" t="s">
        <v>2413</v>
      </c>
      <c r="Q64" s="2422" t="e">
        <f ca="1">Q58+Q59</f>
        <v>#DIV/0!</v>
      </c>
      <c r="R64" s="2425" t="s">
        <v>2397</v>
      </c>
    </row>
    <row r="65" spans="1:18" s="2057" customFormat="1" ht="16.5" thickBot="1">
      <c r="A65" s="2094"/>
      <c r="B65" s="2095"/>
      <c r="C65" s="2095"/>
      <c r="I65" s="2407" t="s">
        <v>2376</v>
      </c>
      <c r="J65" s="2408">
        <v>50</v>
      </c>
      <c r="K65" s="2408">
        <v>35</v>
      </c>
      <c r="L65" s="2408">
        <v>60</v>
      </c>
      <c r="M65" s="3130">
        <v>0</v>
      </c>
      <c r="O65" s="2426" t="s">
        <v>2420</v>
      </c>
      <c r="P65" s="1589"/>
      <c r="Q65" s="1601"/>
      <c r="R65" s="1589"/>
    </row>
    <row r="66" spans="1:18" s="2057" customFormat="1" ht="15.75" thickBot="1">
      <c r="A66" s="2094"/>
      <c r="B66" s="2095"/>
      <c r="C66" s="2095"/>
      <c r="I66" s="2407" t="s">
        <v>2377</v>
      </c>
      <c r="J66" s="2408">
        <v>40</v>
      </c>
      <c r="K66" s="2408">
        <v>30</v>
      </c>
      <c r="L66" s="2408">
        <v>50</v>
      </c>
      <c r="M66" s="3129">
        <v>0.02</v>
      </c>
      <c r="O66" s="2417" t="s">
        <v>2380</v>
      </c>
      <c r="P66" s="2418" t="s">
        <v>2381</v>
      </c>
      <c r="Q66" s="2419" t="s">
        <v>2382</v>
      </c>
      <c r="R66" s="2418" t="s">
        <v>2383</v>
      </c>
    </row>
    <row r="67" spans="1:18" s="2057" customFormat="1" ht="15.75" thickBot="1">
      <c r="A67" s="2094"/>
      <c r="B67" s="2095"/>
      <c r="C67" s="2095"/>
      <c r="K67" s="2084"/>
      <c r="O67" s="2420" t="s">
        <v>2384</v>
      </c>
      <c r="P67" s="2421" t="s">
        <v>2410</v>
      </c>
      <c r="Q67" s="2422">
        <f ca="1">C41+J31</f>
        <v>0</v>
      </c>
      <c r="R67" s="2421" t="s">
        <v>2385</v>
      </c>
    </row>
    <row r="68" spans="1:18" s="2057" customFormat="1" ht="20.25" thickBot="1">
      <c r="A68" s="2094"/>
      <c r="B68" s="2095"/>
      <c r="C68" s="2095"/>
      <c r="K68" s="2084"/>
      <c r="O68" s="2420" t="s">
        <v>2386</v>
      </c>
      <c r="P68" s="2421" t="s">
        <v>2417</v>
      </c>
      <c r="Q68" s="2422" t="e">
        <f ca="1">L61</f>
        <v>#DIV/0!</v>
      </c>
      <c r="R68" s="2425" t="s">
        <v>2419</v>
      </c>
    </row>
    <row r="69" spans="1:18" s="2057" customFormat="1" ht="21.75" thickBot="1">
      <c r="A69" s="2094"/>
      <c r="B69" s="2095"/>
      <c r="C69" s="2095"/>
      <c r="K69" s="2084"/>
      <c r="O69" s="2423" t="s">
        <v>2388</v>
      </c>
      <c r="P69" s="2421" t="s">
        <v>2418</v>
      </c>
      <c r="Q69" s="2427">
        <f ca="1">L52</f>
        <v>0</v>
      </c>
      <c r="R69" s="2428" t="s">
        <v>2421</v>
      </c>
    </row>
    <row r="70" spans="1:18" s="2057" customFormat="1" ht="20.25" thickBot="1">
      <c r="A70" s="2094"/>
      <c r="B70" s="2095"/>
      <c r="C70" s="2095"/>
      <c r="K70" s="2084"/>
      <c r="O70" s="2423" t="s">
        <v>2389</v>
      </c>
      <c r="P70" s="2429" t="s">
        <v>2403</v>
      </c>
      <c r="Q70" s="2422">
        <f ca="1">ROUND(Q71-Q72*Q73,0)</f>
        <v>0</v>
      </c>
      <c r="R70" s="2425"/>
    </row>
    <row r="71" spans="1:18" s="2057" customFormat="1" ht="15.75" thickBot="1">
      <c r="A71" s="2094"/>
      <c r="B71" s="2095"/>
      <c r="C71" s="2095"/>
      <c r="K71" s="2084"/>
      <c r="O71" s="2423" t="s">
        <v>2404</v>
      </c>
      <c r="P71" s="2429" t="s">
        <v>2405</v>
      </c>
      <c r="Q71" s="2422">
        <f ca="1">C42</f>
        <v>0</v>
      </c>
      <c r="R71" s="2421" t="s">
        <v>2385</v>
      </c>
    </row>
    <row r="72" spans="1:18" s="2057" customFormat="1" ht="15.75" thickBot="1">
      <c r="A72" s="2094"/>
      <c r="B72" s="2095"/>
      <c r="C72" s="2095"/>
      <c r="K72" s="2084"/>
      <c r="O72" s="2423" t="s">
        <v>2406</v>
      </c>
      <c r="P72" s="2429" t="s">
        <v>2407</v>
      </c>
      <c r="Q72" s="2422">
        <f ca="1">C15</f>
        <v>0</v>
      </c>
      <c r="R72" s="2421" t="s">
        <v>2385</v>
      </c>
    </row>
    <row r="73" spans="1:18" s="2057" customFormat="1" ht="15.75" thickBot="1">
      <c r="A73" s="2094"/>
      <c r="B73" s="2095"/>
      <c r="C73" s="2095"/>
      <c r="K73" s="2084"/>
      <c r="O73" s="2423" t="s">
        <v>2408</v>
      </c>
      <c r="P73" s="2429" t="s">
        <v>2409</v>
      </c>
      <c r="Q73" s="2424">
        <f ca="1">F43</f>
        <v>0</v>
      </c>
      <c r="R73" s="2425"/>
    </row>
    <row r="74" spans="1:18" s="2057" customFormat="1" ht="15.75" thickBot="1">
      <c r="A74" s="2094"/>
      <c r="B74" s="2095"/>
      <c r="C74" s="2095"/>
      <c r="K74" s="2084"/>
      <c r="O74" s="2423" t="s">
        <v>2391</v>
      </c>
      <c r="P74" s="2421" t="s">
        <v>2398</v>
      </c>
      <c r="Q74" s="2424">
        <f>L53</f>
        <v>0</v>
      </c>
      <c r="R74" s="2425"/>
    </row>
    <row r="75" spans="1:18" s="2057" customFormat="1" ht="20.25" thickBot="1">
      <c r="A75" s="2094"/>
      <c r="B75" s="2095"/>
      <c r="C75" s="2095"/>
      <c r="K75" s="2084"/>
      <c r="O75" s="2423" t="s">
        <v>2393</v>
      </c>
      <c r="P75" s="2421" t="s">
        <v>2399</v>
      </c>
      <c r="Q75" s="2422">
        <f ca="1">L59</f>
        <v>0</v>
      </c>
      <c r="R75" s="2425" t="s">
        <v>2400</v>
      </c>
    </row>
    <row r="76" spans="1:18" s="2057" customFormat="1" ht="20.25" thickBot="1">
      <c r="A76" s="2094"/>
      <c r="B76" s="2095"/>
      <c r="C76" s="2095"/>
      <c r="K76" s="2084"/>
      <c r="O76" s="2423" t="s">
        <v>2422</v>
      </c>
      <c r="P76" s="2421" t="s">
        <v>2401</v>
      </c>
      <c r="Q76" s="2422">
        <f ca="1">L60</f>
        <v>0</v>
      </c>
      <c r="R76" s="2425" t="s">
        <v>2402</v>
      </c>
    </row>
    <row r="77" spans="1:18" s="2057" customFormat="1" ht="15.75" thickBot="1">
      <c r="A77" s="2094"/>
      <c r="B77" s="2095"/>
      <c r="C77" s="2095"/>
      <c r="K77" s="2084"/>
      <c r="O77" s="2420" t="s">
        <v>2396</v>
      </c>
      <c r="P77" s="2421" t="s">
        <v>2413</v>
      </c>
      <c r="Q77" s="2422" t="e">
        <f ca="1">Q67+Q68</f>
        <v>#DIV/0!</v>
      </c>
      <c r="R77" s="2425" t="s">
        <v>2397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ColWidth="9"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4" t="s">
        <v>2583</v>
      </c>
      <c r="C1" s="3454"/>
      <c r="D1" s="3454"/>
      <c r="E1" s="3454"/>
      <c r="F1" s="3454"/>
      <c r="G1" s="3453" t="s">
        <v>2584</v>
      </c>
      <c r="H1" s="3453"/>
      <c r="I1" s="3453"/>
      <c r="J1" s="3453"/>
      <c r="K1" s="3453"/>
      <c r="L1" s="3453"/>
      <c r="N1" s="3453" t="s">
        <v>2585</v>
      </c>
      <c r="O1" s="3453"/>
      <c r="P1" s="3453"/>
      <c r="Q1" s="3453"/>
      <c r="R1" s="2677"/>
      <c r="S1" s="3453" t="s">
        <v>2586</v>
      </c>
      <c r="T1" s="3453"/>
      <c r="U1" s="3453"/>
      <c r="V1" s="3453"/>
      <c r="X1" s="3452" t="s">
        <v>2647</v>
      </c>
      <c r="Y1" s="3453"/>
      <c r="Z1" s="3453"/>
      <c r="AA1" s="3453"/>
      <c r="AB1" s="3453"/>
      <c r="AD1" s="3452" t="s">
        <v>2652</v>
      </c>
      <c r="AE1" s="3453"/>
      <c r="AF1" s="3453"/>
      <c r="AG1" s="3453"/>
      <c r="AH1" s="3453"/>
    </row>
    <row r="2" spans="1:34" s="2779" customFormat="1" ht="14.25" thickBot="1">
      <c r="B2" s="2788" t="s">
        <v>2587</v>
      </c>
      <c r="C2" s="2788" t="s">
        <v>2650</v>
      </c>
      <c r="D2" s="2780" t="s">
        <v>1646</v>
      </c>
      <c r="E2" s="2780" t="s">
        <v>1953</v>
      </c>
      <c r="F2" s="2788" t="s">
        <v>2651</v>
      </c>
      <c r="G2" s="2783"/>
      <c r="H2" s="2782"/>
      <c r="I2" s="2788" t="s">
        <v>2970</v>
      </c>
      <c r="J2" s="2780" t="s">
        <v>2972</v>
      </c>
      <c r="K2" s="2780" t="s">
        <v>2973</v>
      </c>
      <c r="L2" s="2788" t="s">
        <v>2974</v>
      </c>
      <c r="N2" s="2788" t="s">
        <v>2587</v>
      </c>
      <c r="O2" s="2780" t="s">
        <v>2971</v>
      </c>
      <c r="P2" s="2780" t="s">
        <v>1953</v>
      </c>
      <c r="Q2" s="2788" t="s">
        <v>2651</v>
      </c>
      <c r="R2" s="2781"/>
      <c r="S2" s="2788" t="s">
        <v>2587</v>
      </c>
      <c r="T2" s="2780" t="s">
        <v>2971</v>
      </c>
      <c r="U2" s="2780" t="s">
        <v>1953</v>
      </c>
      <c r="V2" s="2788" t="s">
        <v>2651</v>
      </c>
      <c r="X2" s="2788" t="s">
        <v>2587</v>
      </c>
      <c r="Y2" s="2788" t="s">
        <v>2650</v>
      </c>
      <c r="Z2" s="2780" t="s">
        <v>1646</v>
      </c>
      <c r="AA2" s="2780" t="s">
        <v>1953</v>
      </c>
      <c r="AB2" s="2788" t="s">
        <v>2651</v>
      </c>
      <c r="AD2" s="2788" t="s">
        <v>2587</v>
      </c>
      <c r="AE2" s="2788" t="s">
        <v>2650</v>
      </c>
      <c r="AF2" s="2780" t="s">
        <v>1646</v>
      </c>
      <c r="AG2" s="2780" t="s">
        <v>1953</v>
      </c>
      <c r="AH2" s="2788" t="s">
        <v>2651</v>
      </c>
    </row>
    <row r="3" spans="1:34" s="2772" customFormat="1" ht="14.25">
      <c r="B3" s="2773"/>
      <c r="C3" s="2773"/>
      <c r="D3" s="2774"/>
      <c r="E3" s="2774"/>
      <c r="F3" s="2773"/>
      <c r="G3" s="2778"/>
      <c r="H3" s="2775"/>
      <c r="I3" s="3160"/>
      <c r="J3" s="3160"/>
      <c r="K3" s="3160"/>
      <c r="L3" s="3160"/>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2982</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6"/>
      <c r="S4" s="2778"/>
      <c r="T4" s="2776"/>
      <c r="U4" s="2776"/>
      <c r="V4" s="2776"/>
      <c r="X4" s="2777"/>
      <c r="Y4" s="2777"/>
      <c r="Z4" s="2777"/>
      <c r="AA4" s="2777"/>
      <c r="AB4" s="2777"/>
      <c r="AD4" s="2697"/>
      <c r="AE4" s="2697"/>
      <c r="AF4" s="2697"/>
      <c r="AG4" s="2697"/>
      <c r="AH4" s="2697"/>
    </row>
    <row r="5" spans="1:34" s="3143" customFormat="1">
      <c r="A5" s="3141" t="s">
        <v>2981</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461">
        <v>2017</v>
      </c>
      <c r="H5" s="3142">
        <v>4</v>
      </c>
      <c r="I5" s="3161">
        <f>ROUND(AVERAGE(I6:I20),2)</f>
        <v>2.4900000000000002</v>
      </c>
      <c r="J5" s="3161">
        <f>ROUND(AVERAGE(J6:J20),2)</f>
        <v>1.64</v>
      </c>
      <c r="K5" s="3161">
        <f>ROUND(AVERAGE(K6:K20),2)</f>
        <v>2.78</v>
      </c>
      <c r="L5" s="3161">
        <f>ROUND(AVERAGE(L6:L20),2)</f>
        <v>1.39</v>
      </c>
      <c r="N5" s="2785">
        <f t="shared" si="7"/>
        <v>2.4900000000000002E-2</v>
      </c>
      <c r="O5" s="2785">
        <f t="shared" ref="O5" si="15">J5/100</f>
        <v>1.6399999999999998E-2</v>
      </c>
      <c r="P5" s="2785">
        <f t="shared" ref="P5" si="16">K5/100</f>
        <v>2.7799999999999998E-2</v>
      </c>
      <c r="Q5" s="2785">
        <f t="shared" ref="Q5" si="17">L5/100</f>
        <v>1.3899999999999999E-2</v>
      </c>
      <c r="R5" s="3144"/>
      <c r="S5" s="3145"/>
      <c r="T5" s="3144"/>
      <c r="U5" s="3144"/>
      <c r="V5" s="3144"/>
      <c r="W5" s="2786" t="s">
        <v>2648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78" t="s">
        <v>2588</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456"/>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4"/>
      <c r="S6" s="2681"/>
      <c r="T6" s="3157"/>
      <c r="U6" s="3157"/>
      <c r="V6" s="3157"/>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2589</v>
      </c>
      <c r="B7" s="2692">
        <f t="shared" si="18"/>
        <v>419.31181600000002</v>
      </c>
      <c r="C7" s="2692">
        <f t="shared" si="18"/>
        <v>313.95436800000004</v>
      </c>
      <c r="D7" s="2692">
        <f t="shared" si="3"/>
        <v>313.95436800000004</v>
      </c>
      <c r="E7" s="2692">
        <f t="shared" si="19"/>
        <v>596.63028431999999</v>
      </c>
      <c r="F7" s="2692">
        <f t="shared" si="19"/>
        <v>274.74220703999998</v>
      </c>
      <c r="G7" s="3456"/>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2590</v>
      </c>
      <c r="B8" s="2692">
        <f t="shared" si="18"/>
        <v>405.524</v>
      </c>
      <c r="C8" s="2692">
        <f t="shared" si="18"/>
        <v>307.79840000000002</v>
      </c>
      <c r="D8" s="2692">
        <f t="shared" si="3"/>
        <v>307.79840000000002</v>
      </c>
      <c r="E8" s="2692">
        <f t="shared" si="19"/>
        <v>574.67759999999998</v>
      </c>
      <c r="F8" s="2692">
        <f t="shared" si="19"/>
        <v>270.20280000000002</v>
      </c>
      <c r="G8" s="3457"/>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972</v>
      </c>
      <c r="B9" s="2684">
        <v>392</v>
      </c>
      <c r="C9" s="2684">
        <v>302</v>
      </c>
      <c r="D9" s="2684">
        <f t="shared" si="3"/>
        <v>302</v>
      </c>
      <c r="E9" s="2684">
        <v>553</v>
      </c>
      <c r="F9" s="2685">
        <v>266</v>
      </c>
      <c r="G9" s="3461">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971</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456"/>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961</v>
      </c>
      <c r="B11" s="2692">
        <f t="shared" si="27"/>
        <v>360.06949782209392</v>
      </c>
      <c r="C11" s="2692">
        <f t="shared" si="27"/>
        <v>289.84672674747821</v>
      </c>
      <c r="D11" s="2692">
        <f t="shared" si="28"/>
        <v>289.84672674747821</v>
      </c>
      <c r="E11" s="2692">
        <f t="shared" si="29"/>
        <v>501.06543001181495</v>
      </c>
      <c r="F11" s="2692">
        <f t="shared" si="29"/>
        <v>256.82882500744967</v>
      </c>
      <c r="G11" s="3456"/>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970</v>
      </c>
      <c r="B12" s="2692">
        <f t="shared" si="27"/>
        <v>346.720748986128</v>
      </c>
      <c r="C12" s="2692">
        <f t="shared" si="27"/>
        <v>284.30282172386285</v>
      </c>
      <c r="D12" s="2692">
        <f t="shared" si="28"/>
        <v>284.30282172386285</v>
      </c>
      <c r="E12" s="2692">
        <f t="shared" si="29"/>
        <v>479.58023546306947</v>
      </c>
      <c r="F12" s="2692">
        <f t="shared" si="29"/>
        <v>253.25788877571213</v>
      </c>
      <c r="G12" s="3457"/>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969</v>
      </c>
      <c r="B13" s="2684">
        <v>333</v>
      </c>
      <c r="C13" s="2684">
        <v>277</v>
      </c>
      <c r="D13" s="2684">
        <f t="shared" si="28"/>
        <v>277</v>
      </c>
      <c r="E13" s="2684">
        <v>459</v>
      </c>
      <c r="F13" s="2685">
        <v>249</v>
      </c>
      <c r="G13" s="3455">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968</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456"/>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967</v>
      </c>
      <c r="B15" s="2692">
        <f t="shared" si="31"/>
        <v>322.34053690220776</v>
      </c>
      <c r="C15" s="2692">
        <f t="shared" si="31"/>
        <v>271.46160770422546</v>
      </c>
      <c r="D15" s="2692">
        <f t="shared" si="28"/>
        <v>271.46160770422546</v>
      </c>
      <c r="E15" s="2692">
        <f t="shared" si="32"/>
        <v>442.69434542172456</v>
      </c>
      <c r="F15" s="2692">
        <f t="shared" si="32"/>
        <v>241.34030753190925</v>
      </c>
      <c r="G15" s="3456"/>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966</v>
      </c>
      <c r="B16" s="2692">
        <f t="shared" si="31"/>
        <v>319.87748030386797</v>
      </c>
      <c r="C16" s="2692">
        <f t="shared" si="31"/>
        <v>269.60135833173649</v>
      </c>
      <c r="D16" s="2692">
        <f t="shared" si="28"/>
        <v>269.60135833173649</v>
      </c>
      <c r="E16" s="2692">
        <f t="shared" si="32"/>
        <v>439.18089823583784</v>
      </c>
      <c r="F16" s="2692">
        <f t="shared" si="32"/>
        <v>239.23503918706311</v>
      </c>
      <c r="G16" s="3457"/>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965</v>
      </c>
      <c r="B17" s="2706">
        <v>318</v>
      </c>
      <c r="C17" s="2706">
        <v>268</v>
      </c>
      <c r="D17" s="2706">
        <f t="shared" si="28"/>
        <v>268</v>
      </c>
      <c r="E17" s="2706">
        <v>437</v>
      </c>
      <c r="F17" s="2707">
        <v>237</v>
      </c>
      <c r="G17" s="3455">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964</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456"/>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963</v>
      </c>
      <c r="B19" s="2692">
        <f t="shared" si="33"/>
        <v>314.72141172386546</v>
      </c>
      <c r="C19" s="2692">
        <f t="shared" si="33"/>
        <v>263.03901319069001</v>
      </c>
      <c r="D19" s="2692">
        <f t="shared" si="28"/>
        <v>263.03901319069001</v>
      </c>
      <c r="E19" s="2692">
        <f t="shared" si="34"/>
        <v>433.65745506782821</v>
      </c>
      <c r="F19" s="2692">
        <f t="shared" si="34"/>
        <v>233.23005080045735</v>
      </c>
      <c r="G19" s="3456"/>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962</v>
      </c>
      <c r="B20" s="2711">
        <f t="shared" si="33"/>
        <v>307.34512863658733</v>
      </c>
      <c r="C20" s="2711">
        <f t="shared" si="33"/>
        <v>257.80556031626975</v>
      </c>
      <c r="D20" s="2711">
        <f t="shared" si="28"/>
        <v>257.80556031626975</v>
      </c>
      <c r="E20" s="2711">
        <f t="shared" si="34"/>
        <v>422.70928459677179</v>
      </c>
      <c r="F20" s="2711">
        <f t="shared" si="34"/>
        <v>229.73803270336617</v>
      </c>
      <c r="G20" s="3457"/>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2649</v>
      </c>
      <c r="X20" s="2789">
        <v>1</v>
      </c>
      <c r="Y20" s="2789">
        <v>1</v>
      </c>
      <c r="Z20" s="2789">
        <v>1</v>
      </c>
      <c r="AA20" s="2789">
        <v>1</v>
      </c>
      <c r="AB20" s="2789">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8" t="s">
        <v>2591</v>
      </c>
      <c r="B21" s="2684">
        <v>299</v>
      </c>
      <c r="C21" s="2684">
        <v>252</v>
      </c>
      <c r="D21" s="2684">
        <f t="shared" si="28"/>
        <v>252</v>
      </c>
      <c r="E21" s="2684">
        <v>409</v>
      </c>
      <c r="F21" s="2685">
        <v>227</v>
      </c>
      <c r="G21" s="3458">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2592</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459"/>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2593</v>
      </c>
      <c r="B23" s="2692">
        <f t="shared" si="37"/>
        <v>288.2649053828776</v>
      </c>
      <c r="C23" s="2692">
        <f t="shared" si="37"/>
        <v>243.64564425013293</v>
      </c>
      <c r="D23" s="2692">
        <f t="shared" si="28"/>
        <v>243.64564425013293</v>
      </c>
      <c r="E23" s="2692">
        <f t="shared" si="38"/>
        <v>393.31080825986544</v>
      </c>
      <c r="F23" s="2692">
        <f t="shared" si="38"/>
        <v>223.07903790551154</v>
      </c>
      <c r="G23" s="3459"/>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2594</v>
      </c>
      <c r="B24" s="2692">
        <f t="shared" si="37"/>
        <v>282.50186729015837</v>
      </c>
      <c r="C24" s="2692">
        <f t="shared" si="37"/>
        <v>238.09796174155468</v>
      </c>
      <c r="D24" s="2692">
        <f t="shared" si="28"/>
        <v>238.09796174155468</v>
      </c>
      <c r="E24" s="2692">
        <f t="shared" si="38"/>
        <v>385.33438646014054</v>
      </c>
      <c r="F24" s="2692">
        <f t="shared" si="38"/>
        <v>221.55034055567739</v>
      </c>
      <c r="G24" s="3460"/>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2595</v>
      </c>
      <c r="B25" s="2722">
        <v>278</v>
      </c>
      <c r="C25" s="2722">
        <v>234</v>
      </c>
      <c r="D25" s="2722">
        <f t="shared" si="28"/>
        <v>234</v>
      </c>
      <c r="E25" s="2722">
        <v>379</v>
      </c>
      <c r="F25" s="2723">
        <v>220</v>
      </c>
      <c r="G25" s="3455">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2596</v>
      </c>
      <c r="B26" s="2692">
        <f>B25/(1+N25)</f>
        <v>275.49301357645425</v>
      </c>
      <c r="C26" s="2692">
        <f>C25/(1+O25)</f>
        <v>232.41954707985698</v>
      </c>
      <c r="D26" s="2692">
        <f t="shared" si="28"/>
        <v>232.41954707985698</v>
      </c>
      <c r="E26" s="2692">
        <f t="shared" ref="E26:F28" si="39">E25/(1+P25)</f>
        <v>375.32184591008121</v>
      </c>
      <c r="F26" s="2692">
        <f t="shared" si="39"/>
        <v>218.03766105054513</v>
      </c>
      <c r="G26" s="3456"/>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2597</v>
      </c>
      <c r="B27" s="2692">
        <f>B26/(1+N26)</f>
        <v>275.24529281292263</v>
      </c>
      <c r="C27" s="2692">
        <f>C26/(1+O26)</f>
        <v>231.74747938962707</v>
      </c>
      <c r="D27" s="2692">
        <f t="shared" si="28"/>
        <v>231.74747938962707</v>
      </c>
      <c r="E27" s="2692">
        <f t="shared" si="39"/>
        <v>375.35938184826603</v>
      </c>
      <c r="F27" s="2692">
        <f t="shared" si="39"/>
        <v>216.78033510692495</v>
      </c>
      <c r="G27" s="3456"/>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2598</v>
      </c>
      <c r="B28" s="2692">
        <f>B27/(1+N27)</f>
        <v>275.19025476197027</v>
      </c>
      <c r="C28" s="2724">
        <v>232</v>
      </c>
      <c r="D28" s="2724">
        <f t="shared" si="28"/>
        <v>232</v>
      </c>
      <c r="E28" s="2692">
        <f t="shared" si="39"/>
        <v>375.65990977608692</v>
      </c>
      <c r="F28" s="2692">
        <f t="shared" si="39"/>
        <v>214.12518283971252</v>
      </c>
      <c r="G28" s="3457"/>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2599</v>
      </c>
      <c r="B29" s="2684">
        <v>275</v>
      </c>
      <c r="C29" s="2684">
        <v>232</v>
      </c>
      <c r="D29" s="2684">
        <f t="shared" si="28"/>
        <v>232</v>
      </c>
      <c r="E29" s="2684">
        <v>376</v>
      </c>
      <c r="F29" s="2685">
        <v>213</v>
      </c>
      <c r="G29" s="3455">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2600</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456">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2601</v>
      </c>
      <c r="B31" s="2692">
        <f t="shared" si="40"/>
        <v>275.19335084830601</v>
      </c>
      <c r="C31" s="2692">
        <f t="shared" si="40"/>
        <v>230.18088050139744</v>
      </c>
      <c r="D31" s="2692">
        <f t="shared" si="28"/>
        <v>230.18088050139744</v>
      </c>
      <c r="E31" s="2692">
        <f t="shared" si="41"/>
        <v>377.58482925212331</v>
      </c>
      <c r="F31" s="2692">
        <f t="shared" si="41"/>
        <v>210.90687997847917</v>
      </c>
      <c r="G31" s="3456">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2602</v>
      </c>
      <c r="B32" s="2692">
        <f t="shared" si="40"/>
        <v>276.29854502841971</v>
      </c>
      <c r="C32" s="2692">
        <f t="shared" si="40"/>
        <v>229.79023709833027</v>
      </c>
      <c r="D32" s="2692">
        <f t="shared" si="28"/>
        <v>229.79023709833027</v>
      </c>
      <c r="E32" s="2692">
        <f t="shared" si="41"/>
        <v>379.78759731655936</v>
      </c>
      <c r="F32" s="2692">
        <f t="shared" si="41"/>
        <v>211.32953905659235</v>
      </c>
      <c r="G32" s="3457">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2603</v>
      </c>
      <c r="B33" s="2684">
        <v>269</v>
      </c>
      <c r="C33" s="2684">
        <v>221</v>
      </c>
      <c r="D33" s="2684">
        <f t="shared" si="28"/>
        <v>221</v>
      </c>
      <c r="E33" s="2684">
        <v>373</v>
      </c>
      <c r="F33" s="2685">
        <v>196</v>
      </c>
      <c r="G33" s="3455">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2604</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456">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2605</v>
      </c>
      <c r="B35" s="2692">
        <f t="shared" si="42"/>
        <v>242.95398227588385</v>
      </c>
      <c r="C35" s="2692">
        <f t="shared" si="42"/>
        <v>199.59137053614126</v>
      </c>
      <c r="D35" s="2692">
        <f t="shared" si="28"/>
        <v>199.59137053614126</v>
      </c>
      <c r="E35" s="2692">
        <f t="shared" si="43"/>
        <v>335.92189522342125</v>
      </c>
      <c r="F35" s="2692">
        <f t="shared" si="43"/>
        <v>183.10139991109489</v>
      </c>
      <c r="G35" s="3456">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2606</v>
      </c>
      <c r="B36" s="2692">
        <f t="shared" si="42"/>
        <v>232.06990378821649</v>
      </c>
      <c r="C36" s="2692">
        <f t="shared" si="42"/>
        <v>192.74878854286936</v>
      </c>
      <c r="D36" s="2692">
        <f t="shared" si="28"/>
        <v>192.74878854286936</v>
      </c>
      <c r="E36" s="2692">
        <f t="shared" si="43"/>
        <v>319.71247284992984</v>
      </c>
      <c r="F36" s="2692">
        <f t="shared" si="43"/>
        <v>175.67053622862409</v>
      </c>
      <c r="G36" s="3457">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2607</v>
      </c>
      <c r="B37" s="2684">
        <v>220</v>
      </c>
      <c r="C37" s="2684">
        <v>187</v>
      </c>
      <c r="D37" s="2684">
        <f t="shared" si="28"/>
        <v>187</v>
      </c>
      <c r="E37" s="2684">
        <v>301</v>
      </c>
      <c r="F37" s="2685">
        <v>168</v>
      </c>
      <c r="G37" s="3455">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2608</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456">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2609</v>
      </c>
      <c r="B39" s="2692">
        <f t="shared" si="44"/>
        <v>210.630522469011</v>
      </c>
      <c r="C39" s="2692">
        <f t="shared" si="44"/>
        <v>181.69567812247232</v>
      </c>
      <c r="D39" s="2692">
        <f t="shared" si="28"/>
        <v>181.69567812247232</v>
      </c>
      <c r="E39" s="2692">
        <f t="shared" si="45"/>
        <v>286.13517466736738</v>
      </c>
      <c r="F39" s="2692">
        <f t="shared" si="45"/>
        <v>165.47535084591149</v>
      </c>
      <c r="G39" s="3456">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2610</v>
      </c>
      <c r="B40" s="2692">
        <f t="shared" si="44"/>
        <v>208.83454537875372</v>
      </c>
      <c r="C40" s="2692">
        <f t="shared" si="44"/>
        <v>183.77230517090351</v>
      </c>
      <c r="D40" s="2692">
        <f t="shared" si="28"/>
        <v>183.77230517090351</v>
      </c>
      <c r="E40" s="2692">
        <f t="shared" si="45"/>
        <v>281.10342338870947</v>
      </c>
      <c r="F40" s="2692">
        <f t="shared" si="45"/>
        <v>168.97309388942256</v>
      </c>
      <c r="G40" s="3457">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2611</v>
      </c>
      <c r="B41" s="2722">
        <v>214</v>
      </c>
      <c r="C41" s="2722">
        <v>188</v>
      </c>
      <c r="D41" s="2722">
        <f t="shared" si="28"/>
        <v>188</v>
      </c>
      <c r="E41" s="2722">
        <v>289</v>
      </c>
      <c r="F41" s="2723">
        <v>166</v>
      </c>
      <c r="G41" s="3455">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2612</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456">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2613</v>
      </c>
      <c r="B43" s="2692">
        <f t="shared" si="46"/>
        <v>206.31694671589116</v>
      </c>
      <c r="C43" s="2692">
        <f t="shared" si="46"/>
        <v>183.61041121036101</v>
      </c>
      <c r="D43" s="2692">
        <f t="shared" si="28"/>
        <v>183.61041121036101</v>
      </c>
      <c r="E43" s="2692">
        <f t="shared" si="47"/>
        <v>276.66850301795557</v>
      </c>
      <c r="F43" s="2692">
        <f t="shared" si="47"/>
        <v>165.1360938278614</v>
      </c>
      <c r="G43" s="3456">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2614</v>
      </c>
      <c r="B44" s="2725">
        <f t="shared" si="46"/>
        <v>196.62341248059772</v>
      </c>
      <c r="C44" s="2725">
        <f t="shared" si="46"/>
        <v>170.99125648199012</v>
      </c>
      <c r="D44" s="2725">
        <f t="shared" si="28"/>
        <v>170.99125648199012</v>
      </c>
      <c r="E44" s="2725">
        <f t="shared" si="47"/>
        <v>266.07857570490052</v>
      </c>
      <c r="F44" s="2725">
        <f t="shared" si="47"/>
        <v>154.53499328828505</v>
      </c>
      <c r="G44" s="3457">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2615</v>
      </c>
      <c r="B45" s="2684">
        <v>188</v>
      </c>
      <c r="C45" s="2684">
        <v>165</v>
      </c>
      <c r="D45" s="2684">
        <f t="shared" si="28"/>
        <v>165</v>
      </c>
      <c r="E45" s="2684">
        <v>254</v>
      </c>
      <c r="F45" s="2685">
        <v>148</v>
      </c>
      <c r="G45" s="3455">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2616</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456">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2617</v>
      </c>
      <c r="B47" s="2692">
        <f t="shared" si="50"/>
        <v>168.82017748715555</v>
      </c>
      <c r="C47" s="2692">
        <f t="shared" si="50"/>
        <v>148.06267029972753</v>
      </c>
      <c r="D47" s="2692">
        <f t="shared" si="28"/>
        <v>148.06267029972753</v>
      </c>
      <c r="E47" s="2692">
        <f t="shared" si="51"/>
        <v>216.46288379323747</v>
      </c>
      <c r="F47" s="2692">
        <f t="shared" si="51"/>
        <v>134.23529411764704</v>
      </c>
      <c r="G47" s="3456">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2618</v>
      </c>
      <c r="B48" s="2692">
        <f t="shared" si="50"/>
        <v>163.84913591779542</v>
      </c>
      <c r="C48" s="2692">
        <f t="shared" si="50"/>
        <v>145.0283378746594</v>
      </c>
      <c r="D48" s="2692">
        <f t="shared" si="28"/>
        <v>145.0283378746594</v>
      </c>
      <c r="E48" s="2692">
        <f t="shared" si="51"/>
        <v>204.95180722891567</v>
      </c>
      <c r="F48" s="2692">
        <f t="shared" si="51"/>
        <v>125.95920303605313</v>
      </c>
      <c r="G48" s="3457">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2619</v>
      </c>
      <c r="B49" s="2706">
        <v>159</v>
      </c>
      <c r="C49" s="2706">
        <v>141</v>
      </c>
      <c r="D49" s="2706">
        <f t="shared" si="28"/>
        <v>141</v>
      </c>
      <c r="E49" s="2706">
        <v>195</v>
      </c>
      <c r="F49" s="2707">
        <v>122</v>
      </c>
      <c r="G49" s="3455">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2620</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456">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2621</v>
      </c>
      <c r="B51" s="2692">
        <f t="shared" si="54"/>
        <v>146.57412060301507</v>
      </c>
      <c r="C51" s="2692">
        <f t="shared" si="54"/>
        <v>136.46831955922866</v>
      </c>
      <c r="D51" s="2692">
        <f t="shared" si="28"/>
        <v>136.46831955922866</v>
      </c>
      <c r="E51" s="2692">
        <f t="shared" si="55"/>
        <v>166.73864894795128</v>
      </c>
      <c r="F51" s="2692">
        <f t="shared" si="55"/>
        <v>115.05882352941177</v>
      </c>
      <c r="G51" s="3456">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2622</v>
      </c>
      <c r="B52" s="2692">
        <f t="shared" si="54"/>
        <v>144.04145728643215</v>
      </c>
      <c r="C52" s="2692">
        <f t="shared" si="54"/>
        <v>136.12396694214877</v>
      </c>
      <c r="D52" s="2692">
        <f t="shared" si="28"/>
        <v>136.12396694214877</v>
      </c>
      <c r="E52" s="2692">
        <f t="shared" si="55"/>
        <v>158.32225913621264</v>
      </c>
      <c r="F52" s="2692">
        <f t="shared" si="55"/>
        <v>114.04278074866311</v>
      </c>
      <c r="G52" s="3457">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2623</v>
      </c>
      <c r="B53" s="2706">
        <v>138</v>
      </c>
      <c r="C53" s="2706">
        <v>131</v>
      </c>
      <c r="D53" s="2706">
        <f t="shared" si="28"/>
        <v>131</v>
      </c>
      <c r="E53" s="2706">
        <v>155</v>
      </c>
      <c r="F53" s="2707">
        <v>114</v>
      </c>
      <c r="G53" s="3455">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2624</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456">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2625</v>
      </c>
      <c r="B55" s="2692">
        <f t="shared" si="58"/>
        <v>124.29032258064517</v>
      </c>
      <c r="C55" s="2692">
        <f t="shared" si="58"/>
        <v>123.8968609865471</v>
      </c>
      <c r="D55" s="2692">
        <f t="shared" si="28"/>
        <v>123.8968609865471</v>
      </c>
      <c r="E55" s="2692">
        <f t="shared" si="59"/>
        <v>138.00507614213197</v>
      </c>
      <c r="F55" s="2692">
        <f t="shared" si="59"/>
        <v>107.96106557377048</v>
      </c>
      <c r="G55" s="3456">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2626</v>
      </c>
      <c r="B56" s="2692">
        <f t="shared" si="58"/>
        <v>122.57204301075269</v>
      </c>
      <c r="C56" s="2692">
        <f t="shared" si="58"/>
        <v>123.4932735426009</v>
      </c>
      <c r="D56" s="2692">
        <f t="shared" si="28"/>
        <v>123.4932735426009</v>
      </c>
      <c r="E56" s="2692">
        <f t="shared" si="59"/>
        <v>129.82233502538071</v>
      </c>
      <c r="F56" s="2692">
        <f t="shared" si="59"/>
        <v>107.39446721311475</v>
      </c>
      <c r="G56" s="3457">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2627</v>
      </c>
      <c r="B57" s="2722">
        <v>121</v>
      </c>
      <c r="C57" s="2722">
        <v>122</v>
      </c>
      <c r="D57" s="2722">
        <f t="shared" si="28"/>
        <v>122</v>
      </c>
      <c r="E57" s="2722">
        <v>124</v>
      </c>
      <c r="F57" s="2723">
        <v>107</v>
      </c>
      <c r="G57" s="3455">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2628</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456">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2629</v>
      </c>
      <c r="B59" s="2692">
        <f t="shared" si="62"/>
        <v>116.99099099099099</v>
      </c>
      <c r="C59" s="2692">
        <f t="shared" si="62"/>
        <v>118.84848484848486</v>
      </c>
      <c r="D59" s="2692">
        <f t="shared" si="28"/>
        <v>118.84848484848486</v>
      </c>
      <c r="E59" s="2692">
        <f t="shared" si="63"/>
        <v>117.60960960960961</v>
      </c>
      <c r="F59" s="2692">
        <f t="shared" si="63"/>
        <v>104</v>
      </c>
      <c r="G59" s="3456">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2630</v>
      </c>
      <c r="B60" s="2725">
        <f t="shared" si="62"/>
        <v>112.48648648648648</v>
      </c>
      <c r="C60" s="2725">
        <f t="shared" si="62"/>
        <v>115.21212121212122</v>
      </c>
      <c r="D60" s="2725">
        <f t="shared" si="28"/>
        <v>115.21212121212122</v>
      </c>
      <c r="E60" s="2725">
        <f t="shared" si="63"/>
        <v>110.4024024024024</v>
      </c>
      <c r="F60" s="2725">
        <f t="shared" si="63"/>
        <v>104</v>
      </c>
      <c r="G60" s="3457">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2631</v>
      </c>
      <c r="B61" s="2743">
        <v>111</v>
      </c>
      <c r="C61" s="2743">
        <v>114</v>
      </c>
      <c r="D61" s="2743">
        <f t="shared" si="28"/>
        <v>114</v>
      </c>
      <c r="E61" s="2743">
        <v>108</v>
      </c>
      <c r="F61" s="2744">
        <v>104</v>
      </c>
      <c r="G61" s="3455">
        <v>2003</v>
      </c>
      <c r="H61" s="2733">
        <v>4</v>
      </c>
      <c r="I61" s="2745"/>
      <c r="J61" s="2745"/>
      <c r="K61" s="2745"/>
      <c r="L61" s="2745"/>
      <c r="N61" s="2746"/>
      <c r="O61" s="2745"/>
      <c r="P61" s="2745"/>
      <c r="Q61" s="2745"/>
      <c r="S61" s="2746"/>
      <c r="T61" s="2745"/>
      <c r="U61" s="2745"/>
      <c r="V61" s="2745"/>
      <c r="X61" s="2737"/>
      <c r="Y61" s="2737"/>
      <c r="Z61" s="2737"/>
    </row>
    <row r="62" spans="1:26">
      <c r="A62" s="2678" t="s">
        <v>2632</v>
      </c>
      <c r="B62" s="2747">
        <f t="shared" ref="B62:C64" si="64">B63+(B$61-B$65)/4</f>
        <v>109.75</v>
      </c>
      <c r="C62" s="2747">
        <f t="shared" si="64"/>
        <v>112.25</v>
      </c>
      <c r="D62" s="2747">
        <f t="shared" si="28"/>
        <v>112.25</v>
      </c>
      <c r="E62" s="2747">
        <f t="shared" ref="E62:F64" si="65">E63+(E$61-E$65)/4</f>
        <v>107.25</v>
      </c>
      <c r="F62" s="2747">
        <f t="shared" si="65"/>
        <v>103.5</v>
      </c>
      <c r="G62" s="3456">
        <v>2003</v>
      </c>
      <c r="H62" s="2703">
        <v>3</v>
      </c>
      <c r="I62" s="2745"/>
      <c r="J62" s="2745"/>
      <c r="K62" s="2745"/>
      <c r="L62" s="2745"/>
      <c r="X62" s="2737"/>
      <c r="Y62" s="2737"/>
      <c r="Z62" s="2737"/>
    </row>
    <row r="63" spans="1:26">
      <c r="A63" s="2678" t="s">
        <v>2633</v>
      </c>
      <c r="B63" s="2747">
        <f t="shared" si="64"/>
        <v>108.5</v>
      </c>
      <c r="C63" s="2747">
        <f t="shared" si="64"/>
        <v>110.5</v>
      </c>
      <c r="D63" s="2747">
        <f t="shared" si="28"/>
        <v>110.5</v>
      </c>
      <c r="E63" s="2747">
        <f t="shared" si="65"/>
        <v>106.5</v>
      </c>
      <c r="F63" s="2747">
        <f t="shared" si="65"/>
        <v>103</v>
      </c>
      <c r="G63" s="3456">
        <v>2003</v>
      </c>
      <c r="H63" s="2683">
        <v>2</v>
      </c>
      <c r="I63" s="2745"/>
      <c r="J63" s="2745"/>
      <c r="K63" s="2745"/>
      <c r="L63" s="2745"/>
      <c r="X63" s="2737"/>
      <c r="Y63" s="2737"/>
      <c r="Z63" s="2737"/>
    </row>
    <row r="64" spans="1:26" ht="13.5" thickBot="1">
      <c r="A64" s="2678" t="s">
        <v>2634</v>
      </c>
      <c r="B64" s="2747">
        <f t="shared" si="64"/>
        <v>107.25</v>
      </c>
      <c r="C64" s="2747">
        <f t="shared" si="64"/>
        <v>108.75</v>
      </c>
      <c r="D64" s="2747">
        <f t="shared" si="28"/>
        <v>108.75</v>
      </c>
      <c r="E64" s="2747">
        <f t="shared" si="65"/>
        <v>105.75</v>
      </c>
      <c r="F64" s="2747">
        <f t="shared" si="65"/>
        <v>102.5</v>
      </c>
      <c r="G64" s="3457">
        <v>2003</v>
      </c>
      <c r="H64" s="2748">
        <v>1</v>
      </c>
      <c r="I64" s="2745"/>
      <c r="J64" s="2745"/>
      <c r="K64" s="2745"/>
      <c r="L64" s="2745"/>
      <c r="S64" s="2687"/>
      <c r="T64" s="2688"/>
      <c r="U64" s="2688"/>
      <c r="X64" s="2737"/>
      <c r="Y64" s="2737"/>
      <c r="Z64" s="2737"/>
    </row>
    <row r="65" spans="1:26" ht="13.5" thickBot="1">
      <c r="A65" s="2678" t="s">
        <v>2635</v>
      </c>
      <c r="B65" s="2749">
        <v>106</v>
      </c>
      <c r="C65" s="2749">
        <v>107</v>
      </c>
      <c r="D65" s="2749">
        <f t="shared" si="28"/>
        <v>107</v>
      </c>
      <c r="E65" s="2749">
        <v>105</v>
      </c>
      <c r="F65" s="2750">
        <v>102</v>
      </c>
      <c r="G65" s="3455">
        <v>2002</v>
      </c>
      <c r="H65" s="2698">
        <v>4</v>
      </c>
      <c r="I65" s="2745"/>
      <c r="J65" s="2745"/>
      <c r="K65" s="2745"/>
      <c r="L65" s="2745"/>
      <c r="N65" s="2746"/>
      <c r="O65" s="2745"/>
      <c r="P65" s="2745"/>
      <c r="Q65" s="2745"/>
      <c r="S65" s="2746"/>
      <c r="T65" s="2745"/>
      <c r="U65" s="2745"/>
      <c r="V65" s="2745"/>
      <c r="X65" s="2737"/>
      <c r="Y65" s="2737"/>
      <c r="Z65" s="2737"/>
    </row>
    <row r="66" spans="1:26">
      <c r="A66" s="2678" t="s">
        <v>2636</v>
      </c>
      <c r="B66" s="2747">
        <f t="shared" ref="B66:C68" si="66">B67+(B$65-B$69)/4</f>
        <v>105</v>
      </c>
      <c r="C66" s="2747">
        <f t="shared" si="66"/>
        <v>106</v>
      </c>
      <c r="D66" s="2747">
        <f t="shared" si="28"/>
        <v>106</v>
      </c>
      <c r="E66" s="2747">
        <f t="shared" ref="E66:F68" si="67">E67+(E$65-E$69)/4</f>
        <v>104.5</v>
      </c>
      <c r="F66" s="2747">
        <f t="shared" si="67"/>
        <v>101.5</v>
      </c>
      <c r="G66" s="3456">
        <v>2002</v>
      </c>
      <c r="H66" s="2703">
        <v>3</v>
      </c>
      <c r="I66" s="2745"/>
      <c r="J66" s="2745"/>
      <c r="K66" s="2745"/>
      <c r="L66" s="2745"/>
      <c r="X66" s="2737"/>
      <c r="Y66" s="2737"/>
      <c r="Z66" s="2737"/>
    </row>
    <row r="67" spans="1:26">
      <c r="A67" s="2678" t="s">
        <v>2637</v>
      </c>
      <c r="B67" s="2747">
        <f t="shared" si="66"/>
        <v>104</v>
      </c>
      <c r="C67" s="2747">
        <f t="shared" si="66"/>
        <v>105</v>
      </c>
      <c r="D67" s="2747">
        <f t="shared" si="28"/>
        <v>105</v>
      </c>
      <c r="E67" s="2747">
        <f t="shared" si="67"/>
        <v>104</v>
      </c>
      <c r="F67" s="2747">
        <f t="shared" si="67"/>
        <v>101</v>
      </c>
      <c r="G67" s="3456">
        <v>2002</v>
      </c>
      <c r="H67" s="2683">
        <v>2</v>
      </c>
      <c r="I67" s="2745"/>
      <c r="J67" s="2745"/>
      <c r="K67" s="2745"/>
      <c r="L67" s="2745"/>
      <c r="X67" s="2737"/>
      <c r="Y67" s="2737"/>
      <c r="Z67" s="2737"/>
    </row>
    <row r="68" spans="1:26" s="2714" customFormat="1" ht="13.5" thickBot="1">
      <c r="A68" s="2710" t="s">
        <v>2638</v>
      </c>
      <c r="B68" s="2751">
        <f t="shared" si="66"/>
        <v>103</v>
      </c>
      <c r="C68" s="2751">
        <f t="shared" si="66"/>
        <v>104</v>
      </c>
      <c r="D68" s="2751">
        <f t="shared" si="28"/>
        <v>104</v>
      </c>
      <c r="E68" s="2751">
        <f t="shared" si="67"/>
        <v>103.5</v>
      </c>
      <c r="F68" s="2751">
        <f t="shared" si="67"/>
        <v>100.5</v>
      </c>
      <c r="G68" s="3457">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2639</v>
      </c>
      <c r="G71" s="2761"/>
      <c r="N71" s="2761"/>
      <c r="S71" s="2761"/>
    </row>
    <row r="72" spans="1:26" s="2760" customFormat="1">
      <c r="A72" s="2760" t="s">
        <v>2640</v>
      </c>
      <c r="G72" s="2761"/>
      <c r="N72" s="2761"/>
      <c r="S72" s="2761"/>
    </row>
    <row r="73" spans="1:26" s="2760" customFormat="1">
      <c r="A73" s="2760" t="s">
        <v>2641</v>
      </c>
      <c r="G73" s="2761"/>
      <c r="I73" s="2762"/>
      <c r="J73" s="2762"/>
      <c r="K73" s="2762"/>
      <c r="L73" s="2762"/>
      <c r="N73" s="2763"/>
      <c r="O73" s="2762"/>
      <c r="P73" s="2762"/>
      <c r="Q73" s="2762"/>
      <c r="S73" s="2763"/>
      <c r="T73" s="2762"/>
      <c r="U73" s="2762"/>
      <c r="V73" s="2762"/>
    </row>
    <row r="74" spans="1:26" s="2760" customFormat="1">
      <c r="A74" s="2760" t="s">
        <v>2642</v>
      </c>
      <c r="G74" s="2761"/>
      <c r="N74" s="2761"/>
      <c r="S74" s="2761"/>
    </row>
    <row r="81" spans="7:22" ht="13.5" thickBot="1"/>
    <row r="82" spans="7:22">
      <c r="G82" s="2686"/>
      <c r="S82" s="2764" t="s">
        <v>2643</v>
      </c>
      <c r="T82" s="2765" t="s">
        <v>2644</v>
      </c>
      <c r="U82" s="2765" t="s">
        <v>2645</v>
      </c>
      <c r="V82" s="2765" t="s">
        <v>2646</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56.25">
      <c r="A7" s="1793" t="s">
        <v>2756</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2018年1月23日（评估专业人员勘察现场之日）</v>
      </c>
    </row>
    <row r="12" spans="1:4" ht="18.75">
      <c r="A12" s="1795" t="s">
        <v>2029</v>
      </c>
    </row>
    <row r="13" spans="1:4" ht="18.75">
      <c r="A13" s="1789" t="s">
        <v>2954</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18.75">
      <c r="A21" s="1789" t="s">
        <v>2078</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A4" sqref="A4:J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2645" t="s">
        <v>720</v>
      </c>
      <c r="C1" s="2646" t="s">
        <v>721</v>
      </c>
      <c r="D1" s="2647" t="s">
        <v>924</v>
      </c>
      <c r="E1" s="2648"/>
      <c r="F1" s="2831" t="s">
        <v>3000</v>
      </c>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0" t="s">
        <v>467</v>
      </c>
      <c r="B2" s="2644">
        <f>ROUND(B3*D3/10000,0)</f>
        <v>307507</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6" t="s">
        <v>520</v>
      </c>
      <c r="B3" s="848">
        <f>C49</f>
        <v>29836</v>
      </c>
      <c r="C3" s="849" t="s">
        <v>723</v>
      </c>
      <c r="D3" s="848">
        <f>SUMIF('数据-汇总表'!$C19:$C33,D1,'数据-汇总表'!$E19:$E33)</f>
        <v>103065.77</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09" t="s">
        <v>522</v>
      </c>
      <c r="B4" s="510"/>
      <c r="C4" s="3390" t="s">
        <v>523</v>
      </c>
      <c r="D4" s="3391"/>
      <c r="E4" s="3415" t="s">
        <v>524</v>
      </c>
      <c r="F4" s="3416"/>
      <c r="G4" s="3390" t="s">
        <v>525</v>
      </c>
      <c r="H4" s="3391"/>
      <c r="I4" s="3390" t="s">
        <v>526</v>
      </c>
      <c r="J4" s="3391"/>
      <c r="K4" s="850" t="s">
        <v>527</v>
      </c>
      <c r="L4" s="2131"/>
      <c r="M4" s="2132"/>
      <c r="N4" s="2132"/>
      <c r="O4" s="2132"/>
      <c r="P4" s="3392" t="s">
        <v>528</v>
      </c>
      <c r="Q4" s="3393"/>
      <c r="R4" s="3378" t="s">
        <v>524</v>
      </c>
      <c r="S4" s="3379"/>
      <c r="T4" s="3378" t="s">
        <v>525</v>
      </c>
      <c r="U4" s="3379"/>
      <c r="V4" s="3398" t="s">
        <v>526</v>
      </c>
      <c r="W4" s="3398"/>
      <c r="X4" s="1564"/>
      <c r="Y4" s="3378" t="s">
        <v>528</v>
      </c>
      <c r="Z4" s="3379"/>
      <c r="AA4" s="3373" t="s">
        <v>524</v>
      </c>
      <c r="AB4" s="3373" t="s">
        <v>525</v>
      </c>
      <c r="AC4" s="3373" t="s">
        <v>526</v>
      </c>
    </row>
    <row r="5" spans="1:29" ht="15">
      <c r="A5" s="512"/>
      <c r="B5" s="513"/>
      <c r="C5" s="3401" t="s">
        <v>2940</v>
      </c>
      <c r="D5" s="3402"/>
      <c r="E5" s="3462" t="s">
        <v>3031</v>
      </c>
      <c r="F5" s="3418"/>
      <c r="G5" s="3463" t="s">
        <v>3032</v>
      </c>
      <c r="H5" s="3402"/>
      <c r="I5" s="3463" t="s">
        <v>3036</v>
      </c>
      <c r="J5" s="3402"/>
      <c r="K5" s="851"/>
      <c r="L5" s="2131"/>
      <c r="M5" s="2132"/>
      <c r="N5" s="2132"/>
      <c r="O5" s="2132"/>
      <c r="P5" s="3394"/>
      <c r="Q5" s="3395"/>
      <c r="R5" s="3380"/>
      <c r="S5" s="3381"/>
      <c r="T5" s="3380"/>
      <c r="U5" s="3381"/>
      <c r="V5" s="3398"/>
      <c r="W5" s="3398"/>
      <c r="X5" s="1564"/>
      <c r="Y5" s="3380"/>
      <c r="Z5" s="3381"/>
      <c r="AA5" s="3374"/>
      <c r="AB5" s="3374"/>
      <c r="AC5" s="3374"/>
    </row>
    <row r="6" spans="1:29" ht="15.75" thickBot="1">
      <c r="A6" s="514"/>
      <c r="B6" s="515"/>
      <c r="C6" s="3419" t="s">
        <v>2944</v>
      </c>
      <c r="D6" s="3400"/>
      <c r="E6" s="3464" t="s">
        <v>3034</v>
      </c>
      <c r="F6" s="3421"/>
      <c r="G6" s="3399" t="s">
        <v>3033</v>
      </c>
      <c r="H6" s="3400"/>
      <c r="I6" s="3399" t="s">
        <v>3035</v>
      </c>
      <c r="J6" s="3400"/>
      <c r="K6" s="851" t="s">
        <v>529</v>
      </c>
      <c r="L6" s="2131"/>
      <c r="M6" s="2132"/>
      <c r="N6" s="2132"/>
      <c r="O6" s="2132"/>
      <c r="P6" s="3396"/>
      <c r="Q6" s="3397"/>
      <c r="R6" s="3380"/>
      <c r="S6" s="3381"/>
      <c r="T6" s="3382"/>
      <c r="U6" s="3383"/>
      <c r="V6" s="3398"/>
      <c r="W6" s="3398"/>
      <c r="X6" s="1564"/>
      <c r="Y6" s="3382"/>
      <c r="Z6" s="3383"/>
      <c r="AA6" s="3375"/>
      <c r="AB6" s="3375"/>
      <c r="AC6" s="3375"/>
    </row>
    <row r="7" spans="1:29" s="1216" customFormat="1" ht="15.75" thickBot="1">
      <c r="A7" s="2935"/>
      <c r="B7" s="2942" t="s">
        <v>530</v>
      </c>
      <c r="C7" s="516">
        <f>'数据-取费表'!B2</f>
        <v>43123</v>
      </c>
      <c r="D7" s="517">
        <v>100</v>
      </c>
      <c r="E7" s="518">
        <v>43101</v>
      </c>
      <c r="F7" s="519">
        <f>SUMIF(58:58,YEAR(E7)&amp;"-"&amp;MONTH(E7),59:59)</f>
        <v>100</v>
      </c>
      <c r="G7" s="518">
        <v>43101</v>
      </c>
      <c r="H7" s="517">
        <f>SUMIF(58:58,YEAR(G7)&amp;"-"&amp;MONTH(G7),59:59)</f>
        <v>100</v>
      </c>
      <c r="I7" s="518">
        <v>43101</v>
      </c>
      <c r="J7" s="517">
        <f>SUMIF(58:58,YEAR(I7)&amp;"-"&amp;MONTH(I7),59:59)</f>
        <v>100</v>
      </c>
      <c r="K7" s="852"/>
      <c r="L7" s="2133"/>
      <c r="M7" s="2134"/>
      <c r="N7" s="2134"/>
      <c r="O7" s="2134"/>
      <c r="P7" s="3376" t="s">
        <v>531</v>
      </c>
      <c r="Q7" s="3385"/>
      <c r="R7" s="1565" t="s">
        <v>13</v>
      </c>
      <c r="S7" s="1566">
        <f t="shared" ref="S7:S15" si="0">F7</f>
        <v>100</v>
      </c>
      <c r="T7" s="1565" t="s">
        <v>13</v>
      </c>
      <c r="U7" s="1566">
        <f t="shared" ref="U7:U15" si="1">H7</f>
        <v>100</v>
      </c>
      <c r="V7" s="1565" t="s">
        <v>13</v>
      </c>
      <c r="W7" s="1566">
        <f t="shared" ref="W7:W15" si="2">J7</f>
        <v>100</v>
      </c>
      <c r="X7" s="1567"/>
      <c r="Y7" s="3376" t="s">
        <v>531</v>
      </c>
      <c r="Z7" s="3377"/>
      <c r="AA7" s="1568">
        <f>D7/F7</f>
        <v>1</v>
      </c>
      <c r="AB7" s="1568">
        <f>D7/H7</f>
        <v>1</v>
      </c>
      <c r="AC7" s="1568">
        <f>D7/J7</f>
        <v>1</v>
      </c>
    </row>
    <row r="8" spans="1:29" s="1216" customFormat="1" ht="15.75" thickBot="1">
      <c r="A8" s="2936"/>
      <c r="B8" s="2943" t="s">
        <v>532</v>
      </c>
      <c r="C8" s="522" t="s">
        <v>577</v>
      </c>
      <c r="D8" s="517">
        <v>100</v>
      </c>
      <c r="E8" s="522" t="s">
        <v>577</v>
      </c>
      <c r="F8" s="519">
        <f>SUMIF(61:61,E8,62:62)-SUMIF(61:61,C8,62:62)+100</f>
        <v>100</v>
      </c>
      <c r="G8" s="522" t="s">
        <v>577</v>
      </c>
      <c r="H8" s="517">
        <f>SUMIF(61:61,G8,62:62)-SUMIF(61:61,C8,62:62)+100</f>
        <v>100</v>
      </c>
      <c r="I8" s="522" t="s">
        <v>577</v>
      </c>
      <c r="J8" s="517">
        <f>SUMIF(61:61,I8,62:62)-SUMIF(61:61,C8,62:62)+100</f>
        <v>100</v>
      </c>
      <c r="K8" s="852"/>
      <c r="L8" s="2133"/>
      <c r="M8" s="2134"/>
      <c r="N8" s="2134"/>
      <c r="O8" s="2134"/>
      <c r="P8" s="3376" t="s">
        <v>534</v>
      </c>
      <c r="Q8" s="3377"/>
      <c r="R8" s="1565" t="s">
        <v>13</v>
      </c>
      <c r="S8" s="1566">
        <f t="shared" si="0"/>
        <v>100</v>
      </c>
      <c r="T8" s="1565" t="s">
        <v>13</v>
      </c>
      <c r="U8" s="1566">
        <f t="shared" si="1"/>
        <v>100</v>
      </c>
      <c r="V8" s="1565" t="s">
        <v>13</v>
      </c>
      <c r="W8" s="1566">
        <f t="shared" si="2"/>
        <v>100</v>
      </c>
      <c r="X8" s="1567"/>
      <c r="Y8" s="3376" t="s">
        <v>534</v>
      </c>
      <c r="Z8" s="3377"/>
      <c r="AA8" s="1568">
        <f t="shared" ref="AA8:AA46" si="3">D8/F8</f>
        <v>1</v>
      </c>
      <c r="AB8" s="1568">
        <f t="shared" ref="AB8:AB46" si="4">D8/H8</f>
        <v>1</v>
      </c>
      <c r="AC8" s="1568">
        <f t="shared" ref="AC8:AC46" si="5">D8/J8</f>
        <v>1</v>
      </c>
    </row>
    <row r="9" spans="1:29" s="1216" customFormat="1" ht="15">
      <c r="A9" s="2937"/>
      <c r="B9" s="2944" t="s">
        <v>2765</v>
      </c>
      <c r="C9" s="3174" t="s">
        <v>3020</v>
      </c>
      <c r="D9" s="253">
        <v>100</v>
      </c>
      <c r="E9" s="3174" t="s">
        <v>3020</v>
      </c>
      <c r="F9" s="856">
        <f>SUMIF(63:63,E9,64:64)-SUMIF(63:63,C9,64:64)+100</f>
        <v>100</v>
      </c>
      <c r="G9" s="3174" t="s">
        <v>3020</v>
      </c>
      <c r="H9" s="253">
        <f>SUMIF(63:63,G9,64:64)-SUMIF(63:63,C9,64:64)+100</f>
        <v>100</v>
      </c>
      <c r="I9" s="3174" t="s">
        <v>3020</v>
      </c>
      <c r="J9" s="253">
        <f>SUMIF(63:63,I9,64:64)-SUMIF(63:63,C9,64:64)+100</f>
        <v>100</v>
      </c>
      <c r="K9" s="852"/>
      <c r="L9" s="2133"/>
      <c r="M9" s="2134"/>
      <c r="N9" s="2134"/>
      <c r="O9" s="2135"/>
      <c r="P9" s="3384" t="s">
        <v>536</v>
      </c>
      <c r="Q9" s="1147" t="str">
        <f t="shared" ref="Q9:Q15" si="6">B9</f>
        <v>用途</v>
      </c>
      <c r="R9" s="1565" t="s">
        <v>8</v>
      </c>
      <c r="S9" s="1566">
        <f t="shared" si="0"/>
        <v>100</v>
      </c>
      <c r="T9" s="1565" t="s">
        <v>8</v>
      </c>
      <c r="U9" s="1566">
        <f t="shared" si="1"/>
        <v>100</v>
      </c>
      <c r="V9" s="1565" t="s">
        <v>8</v>
      </c>
      <c r="W9" s="1566">
        <f t="shared" si="2"/>
        <v>100</v>
      </c>
      <c r="X9" s="1567"/>
      <c r="Y9" s="3341" t="s">
        <v>537</v>
      </c>
      <c r="Z9" s="1146" t="str">
        <f t="shared" ref="Z9:Z15" si="7">Q9</f>
        <v>用途</v>
      </c>
      <c r="AA9" s="1568">
        <f t="shared" si="3"/>
        <v>1</v>
      </c>
      <c r="AB9" s="1568">
        <f t="shared" si="4"/>
        <v>1</v>
      </c>
      <c r="AC9" s="1568">
        <f t="shared" si="5"/>
        <v>1</v>
      </c>
    </row>
    <row r="10" spans="1:29" s="1334" customFormat="1" ht="27">
      <c r="A10" s="2938"/>
      <c r="B10" s="2943" t="s">
        <v>2766</v>
      </c>
      <c r="C10" s="858" t="s">
        <v>3021</v>
      </c>
      <c r="D10" s="254">
        <v>100</v>
      </c>
      <c r="E10" s="858" t="s">
        <v>3021</v>
      </c>
      <c r="F10" s="860">
        <f>SUMIF(65:65,E10,66:66)-SUMIF(65:65,C10,66:66)+100</f>
        <v>100</v>
      </c>
      <c r="G10" s="858" t="s">
        <v>3021</v>
      </c>
      <c r="H10" s="254">
        <f>SUMIF(65:65,G10,66:66)-SUMIF(65:65,C10,66:66)+100</f>
        <v>100</v>
      </c>
      <c r="I10" s="858" t="s">
        <v>3021</v>
      </c>
      <c r="J10" s="254">
        <f>SUMIF(65:65,I10,66:66)-SUMIF(65:65,C10,66:66)+100</f>
        <v>100</v>
      </c>
      <c r="K10" s="861">
        <v>1</v>
      </c>
      <c r="L10" s="2136"/>
      <c r="M10" s="2176"/>
      <c r="N10" s="2176"/>
      <c r="O10" s="2137"/>
      <c r="P10" s="3384"/>
      <c r="Q10" s="1147" t="str">
        <f t="shared" si="6"/>
        <v>土地使用年限（年）</v>
      </c>
      <c r="R10" s="1565" t="s">
        <v>8</v>
      </c>
      <c r="S10" s="1566">
        <f t="shared" si="0"/>
        <v>100</v>
      </c>
      <c r="T10" s="1565" t="s">
        <v>8</v>
      </c>
      <c r="U10" s="1566">
        <f t="shared" si="1"/>
        <v>100</v>
      </c>
      <c r="V10" s="1565" t="s">
        <v>8</v>
      </c>
      <c r="W10" s="1566">
        <f t="shared" si="2"/>
        <v>100</v>
      </c>
      <c r="X10" s="1567"/>
      <c r="Y10" s="3341"/>
      <c r="Z10" s="1146" t="str">
        <f t="shared" si="7"/>
        <v>土地使用年限（年）</v>
      </c>
      <c r="AA10" s="1568">
        <f t="shared" si="3"/>
        <v>1</v>
      </c>
      <c r="AB10" s="1568">
        <f t="shared" si="4"/>
        <v>1</v>
      </c>
      <c r="AC10" s="1568">
        <f t="shared" si="5"/>
        <v>1</v>
      </c>
    </row>
    <row r="11" spans="1:29" ht="15.75" thickBot="1">
      <c r="A11" s="2939"/>
      <c r="B11" s="2943" t="s">
        <v>2767</v>
      </c>
      <c r="C11" s="530">
        <f>'比较法-住宅、综合'!C13</f>
        <v>3.65</v>
      </c>
      <c r="D11" s="254">
        <v>100</v>
      </c>
      <c r="E11" s="531">
        <v>2.2000000000000002</v>
      </c>
      <c r="F11" s="860">
        <f>LOOKUP(E11,68:68,69:69)-LOOKUP(C11,68:68,69:69)+100</f>
        <v>103</v>
      </c>
      <c r="G11" s="530">
        <v>2.2000000000000002</v>
      </c>
      <c r="H11" s="254">
        <f>LOOKUP(G11,68:68,69:69)-LOOKUP(C11,68:68,69:69)+100</f>
        <v>103</v>
      </c>
      <c r="I11" s="530">
        <v>2.29</v>
      </c>
      <c r="J11" s="254">
        <f>LOOKUP(I11,68:68,69:69)-LOOKUP(C11,68:68,69:69)+100</f>
        <v>103</v>
      </c>
      <c r="K11" s="3188">
        <v>3</v>
      </c>
      <c r="L11" s="2138"/>
      <c r="M11" s="2132"/>
      <c r="N11" s="2132"/>
      <c r="O11" s="2139"/>
      <c r="P11" s="3384"/>
      <c r="Q11" s="1147" t="str">
        <f t="shared" si="6"/>
        <v>容积率</v>
      </c>
      <c r="R11" s="1565" t="s">
        <v>11</v>
      </c>
      <c r="S11" s="1566">
        <f t="shared" si="0"/>
        <v>103</v>
      </c>
      <c r="T11" s="1565" t="s">
        <v>11</v>
      </c>
      <c r="U11" s="1566">
        <f t="shared" si="1"/>
        <v>103</v>
      </c>
      <c r="V11" s="1565" t="s">
        <v>11</v>
      </c>
      <c r="W11" s="1566">
        <f t="shared" si="2"/>
        <v>103</v>
      </c>
      <c r="X11" s="1567"/>
      <c r="Y11" s="3341"/>
      <c r="Z11" s="1146" t="str">
        <f t="shared" si="7"/>
        <v>容积率</v>
      </c>
      <c r="AA11" s="1568">
        <f t="shared" si="3"/>
        <v>0.970873786407767</v>
      </c>
      <c r="AB11" s="1568">
        <f t="shared" si="4"/>
        <v>0.970873786407767</v>
      </c>
      <c r="AC11" s="1568">
        <f t="shared" si="5"/>
        <v>0.970873786407767</v>
      </c>
    </row>
    <row r="12" spans="1:29" s="1216" customFormat="1" ht="15" hidden="1">
      <c r="A12" s="2940"/>
      <c r="B12" s="2946">
        <v>111</v>
      </c>
      <c r="C12" s="525"/>
      <c r="D12" s="535">
        <v>100</v>
      </c>
      <c r="E12" s="525"/>
      <c r="F12" s="860">
        <f>SUMIF(70:70,E12,71:71)-SUMIF(70:70,C12,71:71)+100</f>
        <v>100</v>
      </c>
      <c r="G12" s="525"/>
      <c r="H12" s="254">
        <f>SUMIF(70:70,G12,71:71)-SUMIF(70:70,C12,71:71)+100</f>
        <v>100</v>
      </c>
      <c r="I12" s="525"/>
      <c r="J12" s="254">
        <f>SUMIF(70:70,I12,71:71)-SUMIF(70:70,C12,71:71)+100</f>
        <v>100</v>
      </c>
      <c r="K12" s="862"/>
      <c r="L12" s="2133"/>
      <c r="M12" s="2134"/>
      <c r="N12" s="2134"/>
      <c r="O12" s="2135"/>
      <c r="P12" s="3384"/>
      <c r="Q12" s="1147">
        <f t="shared" si="6"/>
        <v>111</v>
      </c>
      <c r="R12" s="1565" t="s">
        <v>11</v>
      </c>
      <c r="S12" s="1566">
        <f t="shared" si="0"/>
        <v>100</v>
      </c>
      <c r="T12" s="1565" t="s">
        <v>11</v>
      </c>
      <c r="U12" s="1566">
        <f t="shared" si="1"/>
        <v>100</v>
      </c>
      <c r="V12" s="1565" t="s">
        <v>11</v>
      </c>
      <c r="W12" s="1566">
        <f t="shared" si="2"/>
        <v>100</v>
      </c>
      <c r="X12" s="1567"/>
      <c r="Y12" s="3341"/>
      <c r="Z12" s="1146">
        <f t="shared" si="7"/>
        <v>111</v>
      </c>
      <c r="AA12" s="1568">
        <f>D12/F12</f>
        <v>1</v>
      </c>
      <c r="AB12" s="1568">
        <f>D12/H12</f>
        <v>1</v>
      </c>
      <c r="AC12" s="1568">
        <f>D12/J12</f>
        <v>1</v>
      </c>
    </row>
    <row r="13" spans="1:29" ht="15" hidden="1">
      <c r="A13" s="2940"/>
      <c r="B13" s="2946">
        <v>111</v>
      </c>
      <c r="C13" s="536"/>
      <c r="D13" s="537">
        <v>100</v>
      </c>
      <c r="E13" s="536"/>
      <c r="F13" s="860">
        <f>SUMIF(72:72,E13,73:73)-SUMIF(72:72,C13,73:73)+100</f>
        <v>100</v>
      </c>
      <c r="G13" s="536"/>
      <c r="H13" s="537">
        <f>SUMIF(72:72,G13,73:73)-SUMIF(72:72,C13,73:73)+100</f>
        <v>100</v>
      </c>
      <c r="I13" s="536"/>
      <c r="J13" s="537">
        <f>SUMIF(72:72,I13,73:73)-SUMIF(72:72,C13,73:73)+100</f>
        <v>100</v>
      </c>
      <c r="K13" s="862"/>
      <c r="L13" s="2140"/>
      <c r="M13" s="2132"/>
      <c r="N13" s="2132"/>
      <c r="O13" s="2139"/>
      <c r="P13" s="3384"/>
      <c r="Q13" s="1147">
        <f t="shared" si="6"/>
        <v>111</v>
      </c>
      <c r="R13" s="1565" t="s">
        <v>11</v>
      </c>
      <c r="S13" s="1566">
        <f t="shared" si="0"/>
        <v>100</v>
      </c>
      <c r="T13" s="1565" t="s">
        <v>11</v>
      </c>
      <c r="U13" s="1566">
        <f t="shared" si="1"/>
        <v>100</v>
      </c>
      <c r="V13" s="1565" t="s">
        <v>11</v>
      </c>
      <c r="W13" s="1566">
        <f t="shared" si="2"/>
        <v>100</v>
      </c>
      <c r="X13" s="1567"/>
      <c r="Y13" s="3341"/>
      <c r="Z13" s="1146">
        <f t="shared" si="7"/>
        <v>111</v>
      </c>
      <c r="AA13" s="1568">
        <f t="shared" si="3"/>
        <v>1</v>
      </c>
      <c r="AB13" s="1568">
        <f t="shared" si="4"/>
        <v>1</v>
      </c>
      <c r="AC13" s="1568">
        <f t="shared" si="5"/>
        <v>1</v>
      </c>
    </row>
    <row r="14" spans="1:29" ht="15.75" hidden="1" thickBot="1">
      <c r="A14" s="2941"/>
      <c r="B14" s="2947">
        <v>111</v>
      </c>
      <c r="C14" s="542"/>
      <c r="D14" s="543">
        <v>100</v>
      </c>
      <c r="E14" s="542"/>
      <c r="F14" s="863">
        <f>SUMIF(74:74,E14,75:75)-SUMIF(74:74,C14,75:75)+100</f>
        <v>100</v>
      </c>
      <c r="G14" s="542"/>
      <c r="H14" s="543">
        <f>SUMIF(74:74,G14,75:75)-SUMIF(74:74,C14,75:75)+100</f>
        <v>100</v>
      </c>
      <c r="I14" s="542"/>
      <c r="J14" s="543">
        <f>SUMIF(74:74,I14,75:75)-SUMIF(74:74,C14,75:75)+100</f>
        <v>100</v>
      </c>
      <c r="K14" s="862"/>
      <c r="L14" s="2140"/>
      <c r="M14" s="2132"/>
      <c r="N14" s="2132"/>
      <c r="O14" s="2139"/>
      <c r="P14" s="3384"/>
      <c r="Q14" s="1147">
        <f t="shared" si="6"/>
        <v>111</v>
      </c>
      <c r="R14" s="1565" t="s">
        <v>11</v>
      </c>
      <c r="S14" s="1566">
        <f t="shared" si="0"/>
        <v>100</v>
      </c>
      <c r="T14" s="1565" t="s">
        <v>11</v>
      </c>
      <c r="U14" s="1566">
        <f t="shared" si="1"/>
        <v>100</v>
      </c>
      <c r="V14" s="1565" t="s">
        <v>11</v>
      </c>
      <c r="W14" s="1566">
        <f t="shared" si="2"/>
        <v>100</v>
      </c>
      <c r="X14" s="1567"/>
      <c r="Y14" s="3341"/>
      <c r="Z14" s="1146">
        <f t="shared" si="7"/>
        <v>111</v>
      </c>
      <c r="AA14" s="1568">
        <f t="shared" si="3"/>
        <v>1</v>
      </c>
      <c r="AB14" s="1568">
        <f t="shared" si="4"/>
        <v>1</v>
      </c>
      <c r="AC14" s="1568">
        <f t="shared" si="5"/>
        <v>1</v>
      </c>
    </row>
    <row r="15" spans="1:29" ht="99.75">
      <c r="A15" s="2933" t="s">
        <v>2763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f>'比较法-住宅、综合'!K17</f>
        <v>2</v>
      </c>
      <c r="L15" s="2140"/>
      <c r="M15" s="2132"/>
      <c r="N15" s="2132"/>
      <c r="O15" s="2139"/>
      <c r="P15" s="3386" t="s">
        <v>541</v>
      </c>
      <c r="Q15" s="1569" t="str">
        <f t="shared" si="6"/>
        <v>居住社区成熟度</v>
      </c>
      <c r="R15" s="1570" t="s">
        <v>11</v>
      </c>
      <c r="S15" s="1571">
        <f t="shared" si="0"/>
        <v>100</v>
      </c>
      <c r="T15" s="1570" t="s">
        <v>11</v>
      </c>
      <c r="U15" s="1571">
        <f t="shared" si="1"/>
        <v>100</v>
      </c>
      <c r="V15" s="1570" t="s">
        <v>11</v>
      </c>
      <c r="W15" s="1571">
        <f t="shared" si="2"/>
        <v>100</v>
      </c>
      <c r="X15" s="1564"/>
      <c r="Y15" s="3386" t="s">
        <v>541</v>
      </c>
      <c r="Z15" s="1572" t="str">
        <f t="shared" si="7"/>
        <v>居住社区成熟度</v>
      </c>
      <c r="AA15" s="1573">
        <f t="shared" si="3"/>
        <v>1</v>
      </c>
      <c r="AB15" s="1573">
        <f t="shared" si="4"/>
        <v>1</v>
      </c>
      <c r="AC15" s="1573">
        <f t="shared" si="5"/>
        <v>1</v>
      </c>
    </row>
    <row r="16" spans="1:29" ht="15">
      <c r="A16" s="529"/>
      <c r="B16" s="866"/>
      <c r="C16" s="573" t="str">
        <f>'比较法-住宅、综合'!C18</f>
        <v>一般</v>
      </c>
      <c r="D16" s="552"/>
      <c r="E16" s="573" t="str">
        <f>'比较法-住宅、综合'!E18</f>
        <v>一般</v>
      </c>
      <c r="F16" s="554"/>
      <c r="G16" s="573" t="str">
        <f>'比较法-住宅、综合'!G18</f>
        <v>一般</v>
      </c>
      <c r="H16" s="556"/>
      <c r="I16" s="573" t="str">
        <f>'比较法-住宅、综合'!I18</f>
        <v>一般</v>
      </c>
      <c r="J16" s="552"/>
      <c r="K16" s="867"/>
      <c r="L16" s="2140"/>
      <c r="M16" s="2132"/>
      <c r="N16" s="2132"/>
      <c r="O16" s="2139"/>
      <c r="P16" s="3387"/>
      <c r="Q16" s="1569"/>
      <c r="R16" s="1570"/>
      <c r="S16" s="1571"/>
      <c r="T16" s="1570"/>
      <c r="U16" s="1571"/>
      <c r="V16" s="1570"/>
      <c r="W16" s="1571"/>
      <c r="X16" s="1564"/>
      <c r="Y16" s="3387"/>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f>'比较法-住宅、综合'!K23</f>
        <v>2</v>
      </c>
      <c r="L17" s="2140"/>
      <c r="M17" s="2132"/>
      <c r="N17" s="2132"/>
      <c r="O17" s="2139"/>
      <c r="P17" s="3387"/>
      <c r="Q17" s="1569" t="str">
        <f>B17</f>
        <v>交通便捷度</v>
      </c>
      <c r="R17" s="1570" t="s">
        <v>11</v>
      </c>
      <c r="S17" s="1571">
        <f>F17</f>
        <v>100</v>
      </c>
      <c r="T17" s="1570" t="s">
        <v>11</v>
      </c>
      <c r="U17" s="1571">
        <f>H17</f>
        <v>100</v>
      </c>
      <c r="V17" s="1570" t="s">
        <v>11</v>
      </c>
      <c r="W17" s="1571">
        <f>J17</f>
        <v>100</v>
      </c>
      <c r="X17" s="1564"/>
      <c r="Y17" s="3387"/>
      <c r="Z17" s="1572" t="str">
        <f>Q17</f>
        <v>交通便捷度</v>
      </c>
      <c r="AA17" s="1573">
        <f t="shared" si="3"/>
        <v>1</v>
      </c>
      <c r="AB17" s="1573">
        <f t="shared" si="4"/>
        <v>1</v>
      </c>
      <c r="AC17" s="1573">
        <f t="shared" si="5"/>
        <v>1</v>
      </c>
    </row>
    <row r="18" spans="1:29" ht="15">
      <c r="A18" s="529"/>
      <c r="B18" s="592"/>
      <c r="C18" s="870" t="str">
        <f>'比较法-住宅、综合'!C24</f>
        <v>较好</v>
      </c>
      <c r="D18" s="556"/>
      <c r="E18" s="573" t="str">
        <f>'比较法-住宅、综合'!E28</f>
        <v>较好</v>
      </c>
      <c r="F18" s="560"/>
      <c r="G18" s="573" t="str">
        <f>'比较法-住宅、综合'!G28</f>
        <v>较好</v>
      </c>
      <c r="H18" s="552"/>
      <c r="I18" s="573" t="str">
        <f>'比较法-住宅、综合'!I28</f>
        <v>较好</v>
      </c>
      <c r="J18" s="552"/>
      <c r="K18" s="867"/>
      <c r="L18" s="2140"/>
      <c r="M18" s="2132"/>
      <c r="N18" s="2132"/>
      <c r="O18" s="2139"/>
      <c r="P18" s="3387"/>
      <c r="Q18" s="1569"/>
      <c r="R18" s="1570"/>
      <c r="S18" s="1571"/>
      <c r="T18" s="1570"/>
      <c r="U18" s="1571"/>
      <c r="V18" s="1570"/>
      <c r="W18" s="1571"/>
      <c r="X18" s="1564"/>
      <c r="Y18" s="3387"/>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f>'比较法-住宅、综合'!K29</f>
        <v>1</v>
      </c>
      <c r="L19" s="2140"/>
      <c r="M19" s="2132"/>
      <c r="N19" s="2132"/>
      <c r="O19" s="2139"/>
      <c r="P19" s="3387"/>
      <c r="Q19" s="1569" t="str">
        <f>B19</f>
        <v>公共配套设施</v>
      </c>
      <c r="R19" s="1570" t="s">
        <v>11</v>
      </c>
      <c r="S19" s="1571">
        <f>F19</f>
        <v>100</v>
      </c>
      <c r="T19" s="1570" t="s">
        <v>11</v>
      </c>
      <c r="U19" s="1571">
        <f>H19</f>
        <v>100</v>
      </c>
      <c r="V19" s="1570" t="s">
        <v>11</v>
      </c>
      <c r="W19" s="1571">
        <f>J19</f>
        <v>100</v>
      </c>
      <c r="X19" s="1564"/>
      <c r="Y19" s="3387"/>
      <c r="Z19" s="1572" t="str">
        <f>Q19</f>
        <v>公共配套设施</v>
      </c>
      <c r="AA19" s="1573">
        <f t="shared" si="3"/>
        <v>1</v>
      </c>
      <c r="AB19" s="1573">
        <f t="shared" si="4"/>
        <v>1</v>
      </c>
      <c r="AC19" s="1573">
        <f t="shared" si="5"/>
        <v>1</v>
      </c>
    </row>
    <row r="20" spans="1:29" ht="15">
      <c r="A20" s="529"/>
      <c r="B20" s="592"/>
      <c r="C20" s="573" t="str">
        <f>'比较法-住宅、综合'!C30</f>
        <v>较好</v>
      </c>
      <c r="D20" s="552"/>
      <c r="E20" s="573" t="str">
        <f>'比较法-住宅、综合'!E30</f>
        <v>较好</v>
      </c>
      <c r="F20" s="554"/>
      <c r="G20" s="573" t="str">
        <f>'比较法-住宅、综合'!G30</f>
        <v>较好</v>
      </c>
      <c r="H20" s="552"/>
      <c r="I20" s="573" t="str">
        <f>'比较法-住宅、综合'!I30</f>
        <v>较好</v>
      </c>
      <c r="J20" s="552"/>
      <c r="K20" s="867"/>
      <c r="L20" s="2140"/>
      <c r="M20" s="2132"/>
      <c r="N20" s="2132"/>
      <c r="O20" s="2139"/>
      <c r="P20" s="3387"/>
      <c r="Q20" s="1569"/>
      <c r="R20" s="1570"/>
      <c r="S20" s="1571"/>
      <c r="T20" s="1570"/>
      <c r="U20" s="1571"/>
      <c r="V20" s="1570"/>
      <c r="W20" s="1571"/>
      <c r="X20" s="1564"/>
      <c r="Y20" s="3387"/>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f>'比较法-住宅、综合'!K31</f>
        <v>1</v>
      </c>
      <c r="L21" s="2140"/>
      <c r="M21" s="2132"/>
      <c r="N21" s="2132"/>
      <c r="O21" s="2139"/>
      <c r="P21" s="3387"/>
      <c r="Q21" s="2601" t="str">
        <f>B21</f>
        <v>基础设施水平</v>
      </c>
      <c r="R21" s="1570" t="s">
        <v>11</v>
      </c>
      <c r="S21" s="1571">
        <f>F21</f>
        <v>100</v>
      </c>
      <c r="T21" s="1570" t="s">
        <v>11</v>
      </c>
      <c r="U21" s="1571">
        <f>H21</f>
        <v>100</v>
      </c>
      <c r="V21" s="1570" t="s">
        <v>11</v>
      </c>
      <c r="W21" s="1571">
        <f>J21</f>
        <v>100</v>
      </c>
      <c r="X21" s="2603"/>
      <c r="Y21" s="3387"/>
      <c r="Z21" s="2602" t="str">
        <f>Q21</f>
        <v>基础设施水平</v>
      </c>
      <c r="AA21" s="1573">
        <f t="shared" ref="AA21" si="8">D21/F21</f>
        <v>1</v>
      </c>
      <c r="AB21" s="1573">
        <f t="shared" ref="AB21" si="9">D21/H21</f>
        <v>1</v>
      </c>
      <c r="AC21" s="1573">
        <f t="shared" ref="AC21" si="10">D21/J21</f>
        <v>1</v>
      </c>
    </row>
    <row r="22" spans="1:29" ht="15">
      <c r="A22" s="529"/>
      <c r="B22" s="918"/>
      <c r="C22" s="870" t="str">
        <f>'比较法-住宅、综合'!C32</f>
        <v>六通</v>
      </c>
      <c r="D22" s="552"/>
      <c r="E22" s="3177" t="s">
        <v>3028</v>
      </c>
      <c r="F22" s="554"/>
      <c r="G22" s="3177" t="s">
        <v>3028</v>
      </c>
      <c r="H22" s="552"/>
      <c r="I22" s="3177" t="s">
        <v>3028</v>
      </c>
      <c r="J22" s="552"/>
      <c r="K22" s="2621"/>
      <c r="L22" s="2140"/>
      <c r="M22" s="2132"/>
      <c r="N22" s="2132"/>
      <c r="O22" s="2139"/>
      <c r="P22" s="3387"/>
      <c r="Q22" s="2601"/>
      <c r="R22" s="1570"/>
      <c r="S22" s="1571"/>
      <c r="T22" s="1570"/>
      <c r="U22" s="1571"/>
      <c r="V22" s="1570"/>
      <c r="W22" s="1571"/>
      <c r="X22" s="2603"/>
      <c r="Y22" s="3387"/>
      <c r="Z22" s="2602"/>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f>'比较法-住宅、综合'!K27</f>
        <v>2</v>
      </c>
      <c r="L23" s="2140"/>
      <c r="M23" s="2132"/>
      <c r="N23" s="2132"/>
      <c r="O23" s="2139"/>
      <c r="P23" s="3387"/>
      <c r="Q23" s="1569" t="str">
        <f>B23</f>
        <v>自然及人文环境</v>
      </c>
      <c r="R23" s="1570" t="s">
        <v>11</v>
      </c>
      <c r="S23" s="1571">
        <f>F23</f>
        <v>100</v>
      </c>
      <c r="T23" s="1570" t="s">
        <v>11</v>
      </c>
      <c r="U23" s="1571">
        <f>H23</f>
        <v>100</v>
      </c>
      <c r="V23" s="1570" t="s">
        <v>11</v>
      </c>
      <c r="W23" s="1571">
        <f>J23</f>
        <v>100</v>
      </c>
      <c r="X23" s="1564"/>
      <c r="Y23" s="3387"/>
      <c r="Z23" s="1572" t="str">
        <f>Q23</f>
        <v>自然及人文环境</v>
      </c>
      <c r="AA23" s="1573">
        <f t="shared" si="3"/>
        <v>1</v>
      </c>
      <c r="AB23" s="1573">
        <f t="shared" si="4"/>
        <v>1</v>
      </c>
      <c r="AC23" s="1573">
        <f t="shared" si="5"/>
        <v>1</v>
      </c>
    </row>
    <row r="24" spans="1:29" ht="15">
      <c r="A24" s="529"/>
      <c r="B24" s="592"/>
      <c r="C24" s="573" t="str">
        <f>'比较法-住宅、综合'!C28</f>
        <v>较好</v>
      </c>
      <c r="D24" s="552"/>
      <c r="E24" s="573" t="str">
        <f>'比较法-住宅、综合'!E28</f>
        <v>较好</v>
      </c>
      <c r="F24" s="554"/>
      <c r="G24" s="573" t="str">
        <f>'比较法-住宅、综合'!G28</f>
        <v>较好</v>
      </c>
      <c r="H24" s="552"/>
      <c r="I24" s="573" t="str">
        <f>'比较法-住宅、综合'!I28</f>
        <v>较好</v>
      </c>
      <c r="J24" s="552"/>
      <c r="K24" s="867"/>
      <c r="L24" s="2140"/>
      <c r="M24" s="2132"/>
      <c r="N24" s="2132"/>
      <c r="O24" s="2139"/>
      <c r="P24" s="3387"/>
      <c r="Q24" s="1569"/>
      <c r="R24" s="1570"/>
      <c r="S24" s="1571"/>
      <c r="T24" s="1570"/>
      <c r="U24" s="1571"/>
      <c r="V24" s="1570"/>
      <c r="W24" s="1571"/>
      <c r="X24" s="1564"/>
      <c r="Y24" s="3387"/>
      <c r="Z24" s="1572"/>
      <c r="AA24" s="1573">
        <v>1</v>
      </c>
      <c r="AB24" s="1573">
        <v>1</v>
      </c>
      <c r="AC24" s="1573">
        <v>1</v>
      </c>
    </row>
    <row r="25" spans="1:29" ht="15" hidden="1">
      <c r="A25" s="529"/>
      <c r="B25" s="1893" t="s">
        <v>2260</v>
      </c>
      <c r="C25" s="571"/>
      <c r="D25" s="537">
        <v>100</v>
      </c>
      <c r="E25" s="871"/>
      <c r="F25" s="572">
        <f>SUMIF(86:86,E25,87:87)-SUMIF(86:86,C25,87:87)+100</f>
        <v>100</v>
      </c>
      <c r="G25" s="596"/>
      <c r="H25" s="537">
        <f>SUMIF(86:86,G25,87:87)-SUMIF(86:86,C25,87:87)+100</f>
        <v>100</v>
      </c>
      <c r="I25" s="871"/>
      <c r="J25" s="537">
        <f>SUMIF(86:86,I25,87:87)-SUMIF(86:86,C25,87:87)+100</f>
        <v>100</v>
      </c>
      <c r="K25" s="861"/>
      <c r="L25" s="2140"/>
      <c r="M25" s="2132"/>
      <c r="N25" s="2132"/>
      <c r="O25" s="2139"/>
      <c r="P25" s="3387"/>
      <c r="Q25" s="1569" t="str">
        <f t="shared" ref="Q25:Q46" si="11">B25</f>
        <v>楼层-1</v>
      </c>
      <c r="R25" s="1570" t="s">
        <v>11</v>
      </c>
      <c r="S25" s="1571">
        <f>F25</f>
        <v>100</v>
      </c>
      <c r="T25" s="1570" t="s">
        <v>11</v>
      </c>
      <c r="U25" s="1571">
        <f>H25</f>
        <v>100</v>
      </c>
      <c r="V25" s="1570" t="s">
        <v>11</v>
      </c>
      <c r="W25" s="1571">
        <f>J25</f>
        <v>100</v>
      </c>
      <c r="X25" s="1564"/>
      <c r="Y25" s="3387"/>
      <c r="Z25" s="1572" t="str">
        <f>Q25</f>
        <v>楼层-1</v>
      </c>
      <c r="AA25" s="1573">
        <f t="shared" si="3"/>
        <v>1</v>
      </c>
      <c r="AB25" s="1573">
        <f t="shared" si="4"/>
        <v>1</v>
      </c>
      <c r="AC25" s="1573">
        <f t="shared" si="5"/>
        <v>1</v>
      </c>
    </row>
    <row r="26" spans="1:29" ht="15" hidden="1">
      <c r="A26" s="529"/>
      <c r="B26" s="524" t="s">
        <v>724</v>
      </c>
      <c r="C26" s="571"/>
      <c r="D26" s="537">
        <v>100</v>
      </c>
      <c r="E26" s="871"/>
      <c r="F26" s="572">
        <f>SUMIF(88:88,E26,89:89)-SUMIF(88:88,C26,89:89)+100</f>
        <v>100</v>
      </c>
      <c r="G26" s="596"/>
      <c r="H26" s="537">
        <f>SUMIF(88:88,G26,89:89)-SUMIF(88:88,C26,89:89)+100</f>
        <v>100</v>
      </c>
      <c r="I26" s="871"/>
      <c r="J26" s="537">
        <f>SUMIF(88:88,I26,89:89)-SUMIF(88:88,C26,89:89)+100</f>
        <v>100</v>
      </c>
      <c r="K26" s="861"/>
      <c r="L26" s="2140"/>
      <c r="M26" s="2132"/>
      <c r="N26" s="2132"/>
      <c r="O26" s="2139"/>
      <c r="P26" s="3387"/>
      <c r="Q26" s="1569" t="str">
        <f t="shared" si="11"/>
        <v>朝向</v>
      </c>
      <c r="R26" s="1570" t="s">
        <v>11</v>
      </c>
      <c r="S26" s="1571">
        <f>F26</f>
        <v>100</v>
      </c>
      <c r="T26" s="1570" t="s">
        <v>11</v>
      </c>
      <c r="U26" s="1571">
        <f>H26</f>
        <v>100</v>
      </c>
      <c r="V26" s="1570" t="s">
        <v>11</v>
      </c>
      <c r="W26" s="1571">
        <f>J26</f>
        <v>100</v>
      </c>
      <c r="X26" s="1564"/>
      <c r="Y26" s="3387"/>
      <c r="Z26" s="1572" t="str">
        <f>Q26</f>
        <v>朝向</v>
      </c>
      <c r="AA26" s="1573">
        <f t="shared" si="3"/>
        <v>1</v>
      </c>
      <c r="AB26" s="1573">
        <f t="shared" si="4"/>
        <v>1</v>
      </c>
      <c r="AC26" s="1573">
        <f t="shared" si="5"/>
        <v>1</v>
      </c>
    </row>
    <row r="27" spans="1:29" s="1216" customFormat="1" ht="15.75" thickBot="1">
      <c r="A27" s="533"/>
      <c r="B27" s="534" t="s">
        <v>725</v>
      </c>
      <c r="C27" s="525" t="str">
        <f>'比较法-住宅、综合'!C35</f>
        <v>城市支路</v>
      </c>
      <c r="D27" s="872">
        <v>100</v>
      </c>
      <c r="E27" s="525" t="str">
        <f>'比较法-住宅、综合'!E35</f>
        <v>城市支路</v>
      </c>
      <c r="F27" s="873">
        <f>SUMIF(90:90,E27,91:91)-SUMIF(90:90,C27,91:91)+100</f>
        <v>100</v>
      </c>
      <c r="G27" s="525" t="str">
        <f>'比较法-住宅、综合'!G35</f>
        <v>城市支路</v>
      </c>
      <c r="H27" s="872">
        <f>SUMIF(90:90,G27,91:91)-SUMIF(90:90,C27,91:91)+100</f>
        <v>100</v>
      </c>
      <c r="I27" s="525" t="str">
        <f>'比较法-住宅、综合'!I35</f>
        <v>城市支路</v>
      </c>
      <c r="J27" s="872">
        <f>SUMIF(90:90,I27,91:91)-SUMIF(90:90,C27,91:91)+100</f>
        <v>100</v>
      </c>
      <c r="K27" s="862"/>
      <c r="L27" s="2133"/>
      <c r="M27" s="2134"/>
      <c r="N27" s="2134"/>
      <c r="O27" s="2135"/>
      <c r="P27" s="3387"/>
      <c r="Q27" s="1147" t="str">
        <f t="shared" si="11"/>
        <v>道路级别</v>
      </c>
      <c r="R27" s="1565" t="s">
        <v>11</v>
      </c>
      <c r="S27" s="1566">
        <f>F27</f>
        <v>100</v>
      </c>
      <c r="T27" s="1565" t="s">
        <v>11</v>
      </c>
      <c r="U27" s="1566">
        <f>H27</f>
        <v>100</v>
      </c>
      <c r="V27" s="1565" t="s">
        <v>11</v>
      </c>
      <c r="W27" s="1566">
        <f>J27</f>
        <v>100</v>
      </c>
      <c r="X27" s="1567"/>
      <c r="Y27" s="3387"/>
      <c r="Z27" s="1146" t="str">
        <f>Q27</f>
        <v>道路级别</v>
      </c>
      <c r="AA27" s="1573">
        <f>D27/F27</f>
        <v>1</v>
      </c>
      <c r="AB27" s="1573">
        <f>D27/H27</f>
        <v>1</v>
      </c>
      <c r="AC27" s="1573">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0"/>
      <c r="M28" s="2132"/>
      <c r="N28" s="2132"/>
      <c r="O28" s="2139"/>
      <c r="P28" s="3387"/>
      <c r="Q28" s="1569">
        <f t="shared" si="11"/>
        <v>111</v>
      </c>
      <c r="R28" s="1570" t="s">
        <v>11</v>
      </c>
      <c r="S28" s="1571">
        <f t="shared" ref="S28:S46" si="12">F28</f>
        <v>100</v>
      </c>
      <c r="T28" s="1570" t="s">
        <v>11</v>
      </c>
      <c r="U28" s="1571">
        <f t="shared" ref="U28:U46" si="13">H28</f>
        <v>100</v>
      </c>
      <c r="V28" s="1570" t="s">
        <v>11</v>
      </c>
      <c r="W28" s="1571">
        <f t="shared" ref="W28:W46" si="14">J28</f>
        <v>100</v>
      </c>
      <c r="X28" s="1564"/>
      <c r="Y28" s="3387"/>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0"/>
      <c r="M29" s="2132"/>
      <c r="N29" s="2132"/>
      <c r="O29" s="2139"/>
      <c r="P29" s="3387"/>
      <c r="Q29" s="1569">
        <f t="shared" si="11"/>
        <v>111</v>
      </c>
      <c r="R29" s="1570" t="s">
        <v>11</v>
      </c>
      <c r="S29" s="1571">
        <f t="shared" si="12"/>
        <v>100</v>
      </c>
      <c r="T29" s="1570" t="s">
        <v>11</v>
      </c>
      <c r="U29" s="1571">
        <f t="shared" si="13"/>
        <v>100</v>
      </c>
      <c r="V29" s="1570" t="s">
        <v>11</v>
      </c>
      <c r="W29" s="1571">
        <f t="shared" si="14"/>
        <v>100</v>
      </c>
      <c r="X29" s="1564"/>
      <c r="Y29" s="3387"/>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0"/>
      <c r="M30" s="2132"/>
      <c r="N30" s="2132"/>
      <c r="O30" s="2139"/>
      <c r="P30" s="3387"/>
      <c r="Q30" s="1569">
        <f t="shared" si="11"/>
        <v>111</v>
      </c>
      <c r="R30" s="1570" t="s">
        <v>11</v>
      </c>
      <c r="S30" s="1571">
        <f t="shared" si="12"/>
        <v>100</v>
      </c>
      <c r="T30" s="1570" t="s">
        <v>11</v>
      </c>
      <c r="U30" s="1571">
        <f t="shared" si="13"/>
        <v>100</v>
      </c>
      <c r="V30" s="1570" t="s">
        <v>11</v>
      </c>
      <c r="W30" s="1571">
        <f t="shared" si="14"/>
        <v>100</v>
      </c>
      <c r="X30" s="1564"/>
      <c r="Y30" s="3387"/>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0"/>
      <c r="M31" s="2132"/>
      <c r="N31" s="2132"/>
      <c r="O31" s="2139"/>
      <c r="P31" s="3387"/>
      <c r="Q31" s="1569">
        <f t="shared" si="11"/>
        <v>111</v>
      </c>
      <c r="R31" s="1570" t="s">
        <v>11</v>
      </c>
      <c r="S31" s="1571">
        <f t="shared" si="12"/>
        <v>100</v>
      </c>
      <c r="T31" s="1570" t="s">
        <v>11</v>
      </c>
      <c r="U31" s="1571">
        <f t="shared" si="13"/>
        <v>100</v>
      </c>
      <c r="V31" s="1570" t="s">
        <v>11</v>
      </c>
      <c r="W31" s="1571">
        <f t="shared" si="14"/>
        <v>100</v>
      </c>
      <c r="X31" s="1564"/>
      <c r="Y31" s="3387"/>
      <c r="Z31" s="1572">
        <f t="shared" si="15"/>
        <v>111</v>
      </c>
      <c r="AA31" s="1573">
        <f t="shared" si="3"/>
        <v>1</v>
      </c>
      <c r="AB31" s="1573">
        <f t="shared" si="4"/>
        <v>1</v>
      </c>
      <c r="AC31" s="1573">
        <f t="shared" si="5"/>
        <v>1</v>
      </c>
    </row>
    <row r="32" spans="1:29" ht="15">
      <c r="A32" s="2931" t="s">
        <v>2764</v>
      </c>
      <c r="B32" s="172" t="s">
        <v>726</v>
      </c>
      <c r="C32" s="3175" t="s">
        <v>3022</v>
      </c>
      <c r="D32" s="594">
        <v>100</v>
      </c>
      <c r="E32" s="3175" t="s">
        <v>3022</v>
      </c>
      <c r="F32" s="572">
        <f>SUMIF(100:100,E32,101:101)-SUMIF(100:100,C32,101:101)+100</f>
        <v>100</v>
      </c>
      <c r="G32" s="3175" t="s">
        <v>3022</v>
      </c>
      <c r="H32" s="594">
        <f>SUMIF(100:100,G32,101:101)-SUMIF(100:100,C32,101:101)+100</f>
        <v>100</v>
      </c>
      <c r="I32" s="3175" t="s">
        <v>3022</v>
      </c>
      <c r="J32" s="537">
        <f>SUMIF(100:100,I32,101:101)-SUMIF(100:100,C32,101:101)+100</f>
        <v>100</v>
      </c>
      <c r="K32" s="861">
        <v>1</v>
      </c>
      <c r="L32" s="2140"/>
      <c r="M32" s="2132"/>
      <c r="N32" s="2132"/>
      <c r="O32" s="2139"/>
      <c r="P32" s="3388" t="s">
        <v>551</v>
      </c>
      <c r="Q32" s="1569" t="str">
        <f t="shared" si="11"/>
        <v>建筑类型</v>
      </c>
      <c r="R32" s="1570" t="s">
        <v>11</v>
      </c>
      <c r="S32" s="1571">
        <f t="shared" si="12"/>
        <v>100</v>
      </c>
      <c r="T32" s="1570" t="s">
        <v>11</v>
      </c>
      <c r="U32" s="1571">
        <f t="shared" si="13"/>
        <v>100</v>
      </c>
      <c r="V32" s="1570" t="s">
        <v>11</v>
      </c>
      <c r="W32" s="1571">
        <f t="shared" si="14"/>
        <v>100</v>
      </c>
      <c r="X32" s="1564"/>
      <c r="Y32" s="3389" t="s">
        <v>551</v>
      </c>
      <c r="Z32" s="1572" t="str">
        <f t="shared" si="15"/>
        <v>建筑类型</v>
      </c>
      <c r="AA32" s="1573">
        <f t="shared" si="3"/>
        <v>1</v>
      </c>
      <c r="AB32" s="1573">
        <f t="shared" si="4"/>
        <v>1</v>
      </c>
      <c r="AC32" s="1573">
        <f t="shared" si="5"/>
        <v>1</v>
      </c>
    </row>
    <row r="33" spans="1:29" s="1335" customFormat="1" ht="15">
      <c r="A33" s="600"/>
      <c r="B33" s="524" t="s">
        <v>727</v>
      </c>
      <c r="C33" s="876">
        <f>'数据-汇总表'!E31</f>
        <v>136430.07</v>
      </c>
      <c r="D33" s="254">
        <v>100</v>
      </c>
      <c r="E33" s="531">
        <v>170000</v>
      </c>
      <c r="F33" s="860">
        <f>LOOKUP(E33,103:103,104:104)-LOOKUP(C33,103:103,104:104)+100</f>
        <v>101</v>
      </c>
      <c r="G33" s="530">
        <v>219308</v>
      </c>
      <c r="H33" s="254">
        <f>LOOKUP(G33,103:103,104:104)-LOOKUP(C33,103:103,104:104)+100</f>
        <v>102</v>
      </c>
      <c r="I33" s="531">
        <v>105561</v>
      </c>
      <c r="J33" s="254">
        <f>LOOKUP(I33,103:103,104:104)-LOOKUP(C33,103:103,104:104)+100</f>
        <v>100</v>
      </c>
      <c r="K33" s="862"/>
      <c r="L33" s="2138"/>
      <c r="M33" s="2169"/>
      <c r="N33" s="2169"/>
      <c r="O33" s="2141"/>
      <c r="P33" s="3389"/>
      <c r="Q33" s="1602" t="str">
        <f t="shared" si="11"/>
        <v>项目建筑规模</v>
      </c>
      <c r="R33" s="1574" t="s">
        <v>11</v>
      </c>
      <c r="S33" s="1575">
        <f t="shared" si="12"/>
        <v>101</v>
      </c>
      <c r="T33" s="1574" t="s">
        <v>11</v>
      </c>
      <c r="U33" s="1575">
        <f t="shared" si="13"/>
        <v>102</v>
      </c>
      <c r="V33" s="1574" t="s">
        <v>11</v>
      </c>
      <c r="W33" s="1575">
        <f t="shared" si="14"/>
        <v>100</v>
      </c>
      <c r="X33" s="1576"/>
      <c r="Y33" s="3389"/>
      <c r="Z33" s="1577" t="str">
        <f t="shared" si="15"/>
        <v>项目建筑规模</v>
      </c>
      <c r="AA33" s="1573">
        <f t="shared" si="3"/>
        <v>0.99009900990099009</v>
      </c>
      <c r="AB33" s="1573">
        <f t="shared" si="4"/>
        <v>0.98039215686274506</v>
      </c>
      <c r="AC33" s="1573">
        <f t="shared" si="5"/>
        <v>1</v>
      </c>
    </row>
    <row r="34" spans="1:29" ht="15">
      <c r="A34" s="591"/>
      <c r="B34" s="524" t="s">
        <v>728</v>
      </c>
      <c r="C34" s="3176" t="s">
        <v>3024</v>
      </c>
      <c r="D34" s="537">
        <v>100</v>
      </c>
      <c r="E34" s="3176" t="s">
        <v>3024</v>
      </c>
      <c r="F34" s="572">
        <f>SUMIF(105:105,E34,106:106)-SUMIF(105:105,C34,106:106)+100</f>
        <v>100</v>
      </c>
      <c r="G34" s="3176" t="s">
        <v>3024</v>
      </c>
      <c r="H34" s="537">
        <f>SUMIF(105:105,G34,106:106)-SUMIF(105:105,C34,106:106)+100</f>
        <v>100</v>
      </c>
      <c r="I34" s="3176" t="s">
        <v>3024</v>
      </c>
      <c r="J34" s="537">
        <f>SUMIF(105:105,I34,106:106)-SUMIF(105:105,C34,106:106)+100</f>
        <v>100</v>
      </c>
      <c r="K34" s="861">
        <v>2</v>
      </c>
      <c r="L34" s="2140"/>
      <c r="M34" s="2132"/>
      <c r="N34" s="2132"/>
      <c r="O34" s="2139"/>
      <c r="P34" s="3389"/>
      <c r="Q34" s="1569" t="str">
        <f t="shared" si="11"/>
        <v>建筑结构</v>
      </c>
      <c r="R34" s="1570" t="s">
        <v>11</v>
      </c>
      <c r="S34" s="1571">
        <f t="shared" si="12"/>
        <v>100</v>
      </c>
      <c r="T34" s="1570" t="s">
        <v>11</v>
      </c>
      <c r="U34" s="1571">
        <f t="shared" si="13"/>
        <v>100</v>
      </c>
      <c r="V34" s="1570" t="s">
        <v>11</v>
      </c>
      <c r="W34" s="1571">
        <f t="shared" si="14"/>
        <v>100</v>
      </c>
      <c r="X34" s="1564"/>
      <c r="Y34" s="3389"/>
      <c r="Z34" s="1572" t="str">
        <f t="shared" si="15"/>
        <v>建筑结构</v>
      </c>
      <c r="AA34" s="1573">
        <f t="shared" si="3"/>
        <v>1</v>
      </c>
      <c r="AB34" s="1573">
        <f t="shared" si="4"/>
        <v>1</v>
      </c>
      <c r="AC34" s="1573">
        <f t="shared" si="5"/>
        <v>1</v>
      </c>
    </row>
    <row r="35" spans="1:29" ht="15">
      <c r="A35" s="591"/>
      <c r="B35" s="524" t="s">
        <v>729</v>
      </c>
      <c r="C35" s="3171" t="s">
        <v>3025</v>
      </c>
      <c r="D35" s="537">
        <v>100</v>
      </c>
      <c r="E35" s="3171" t="s">
        <v>3025</v>
      </c>
      <c r="F35" s="572">
        <f>SUMIF(107:107,E35,108:108)-SUMIF(107:107,C35,108:108)+100</f>
        <v>100</v>
      </c>
      <c r="G35" s="3171" t="s">
        <v>3025</v>
      </c>
      <c r="H35" s="537">
        <f>SUMIF(107:107,G35,108:108)-SUMIF(107:107,C35,108:108)+100</f>
        <v>100</v>
      </c>
      <c r="I35" s="3171" t="s">
        <v>3025</v>
      </c>
      <c r="J35" s="537">
        <f>SUMIF(107:107,I35,108:108)-SUMIF(107:107,C35,108:108)+100</f>
        <v>100</v>
      </c>
      <c r="K35" s="861">
        <v>1</v>
      </c>
      <c r="L35" s="2140"/>
      <c r="M35" s="2132"/>
      <c r="N35" s="2132"/>
      <c r="O35" s="2139"/>
      <c r="P35" s="3389"/>
      <c r="Q35" s="1569" t="str">
        <f t="shared" si="11"/>
        <v>建筑品质</v>
      </c>
      <c r="R35" s="1570" t="s">
        <v>11</v>
      </c>
      <c r="S35" s="1571">
        <f t="shared" si="12"/>
        <v>100</v>
      </c>
      <c r="T35" s="1570" t="s">
        <v>11</v>
      </c>
      <c r="U35" s="1571">
        <f t="shared" si="13"/>
        <v>100</v>
      </c>
      <c r="V35" s="1570" t="s">
        <v>11</v>
      </c>
      <c r="W35" s="1571">
        <f t="shared" si="14"/>
        <v>100</v>
      </c>
      <c r="X35" s="1564"/>
      <c r="Y35" s="3389"/>
      <c r="Z35" s="1572" t="str">
        <f t="shared" si="15"/>
        <v>建筑品质</v>
      </c>
      <c r="AA35" s="1573">
        <f t="shared" si="3"/>
        <v>1</v>
      </c>
      <c r="AB35" s="1573">
        <f t="shared" si="4"/>
        <v>1</v>
      </c>
      <c r="AC35" s="1573">
        <f t="shared" si="5"/>
        <v>1</v>
      </c>
    </row>
    <row r="36" spans="1:29" ht="15">
      <c r="A36" s="591"/>
      <c r="B36" s="524" t="s">
        <v>730</v>
      </c>
      <c r="C36" s="3171" t="s">
        <v>3026</v>
      </c>
      <c r="D36" s="537">
        <v>100</v>
      </c>
      <c r="E36" s="3171" t="s">
        <v>3026</v>
      </c>
      <c r="F36" s="572">
        <f>SUMIF(109:109,E36,110:110)-SUMIF(109:109,C36,110:110)+100</f>
        <v>100</v>
      </c>
      <c r="G36" s="3171" t="s">
        <v>3026</v>
      </c>
      <c r="H36" s="537">
        <f>SUMIF(109:109,G36,110:110)-SUMIF(109:109,C36,110:110)+100</f>
        <v>100</v>
      </c>
      <c r="I36" s="3171" t="s">
        <v>3026</v>
      </c>
      <c r="J36" s="537">
        <f>SUMIF(109:109,I36,110:110)-SUMIF(109:109,C36,110:110)+100</f>
        <v>100</v>
      </c>
      <c r="K36" s="861">
        <v>1</v>
      </c>
      <c r="L36" s="2140"/>
      <c r="M36" s="2132"/>
      <c r="N36" s="2132"/>
      <c r="O36" s="2139"/>
      <c r="P36" s="3389"/>
      <c r="Q36" s="1569" t="str">
        <f t="shared" si="11"/>
        <v>公共部分装修</v>
      </c>
      <c r="R36" s="1570" t="s">
        <v>11</v>
      </c>
      <c r="S36" s="1571">
        <f t="shared" si="12"/>
        <v>100</v>
      </c>
      <c r="T36" s="1570" t="s">
        <v>11</v>
      </c>
      <c r="U36" s="1571">
        <f t="shared" si="13"/>
        <v>100</v>
      </c>
      <c r="V36" s="1570" t="s">
        <v>11</v>
      </c>
      <c r="W36" s="1571">
        <f t="shared" si="14"/>
        <v>100</v>
      </c>
      <c r="X36" s="1564"/>
      <c r="Y36" s="3389"/>
      <c r="Z36" s="1572" t="str">
        <f t="shared" si="15"/>
        <v>公共部分装修</v>
      </c>
      <c r="AA36" s="1573">
        <f t="shared" si="3"/>
        <v>1</v>
      </c>
      <c r="AB36" s="1573">
        <f t="shared" si="4"/>
        <v>1</v>
      </c>
      <c r="AC36" s="1573">
        <f t="shared" si="5"/>
        <v>1</v>
      </c>
    </row>
    <row r="37" spans="1:29" s="1216" customFormat="1" ht="15">
      <c r="A37" s="597"/>
      <c r="B37" s="524" t="s">
        <v>731</v>
      </c>
      <c r="C37" s="879">
        <v>1</v>
      </c>
      <c r="D37" s="254">
        <v>100</v>
      </c>
      <c r="E37" s="879">
        <v>1</v>
      </c>
      <c r="F37" s="860">
        <f>LOOKUP(E37,112:112,113:113)-LOOKUP(C37,112:112,113:113)+100</f>
        <v>100</v>
      </c>
      <c r="G37" s="879">
        <v>1</v>
      </c>
      <c r="H37" s="254">
        <f>LOOKUP(G37,112:112,113:113)-LOOKUP(C37,112:112,113:113)+100</f>
        <v>100</v>
      </c>
      <c r="I37" s="879">
        <v>1</v>
      </c>
      <c r="J37" s="254">
        <f>LOOKUP(I37,112:112,113:113)-LOOKUP(C37,112:112,113:113)+100</f>
        <v>100</v>
      </c>
      <c r="K37" s="861">
        <v>1</v>
      </c>
      <c r="L37" s="2133"/>
      <c r="M37" s="2134"/>
      <c r="N37" s="2134"/>
      <c r="O37" s="2135"/>
      <c r="P37" s="3389"/>
      <c r="Q37" s="1147" t="str">
        <f t="shared" si="11"/>
        <v>成新度</v>
      </c>
      <c r="R37" s="1565" t="s">
        <v>11</v>
      </c>
      <c r="S37" s="1566">
        <f t="shared" si="12"/>
        <v>100</v>
      </c>
      <c r="T37" s="1565" t="s">
        <v>11</v>
      </c>
      <c r="U37" s="1566">
        <f t="shared" si="13"/>
        <v>100</v>
      </c>
      <c r="V37" s="1565" t="s">
        <v>11</v>
      </c>
      <c r="W37" s="1566">
        <f t="shared" si="14"/>
        <v>100</v>
      </c>
      <c r="X37" s="1567"/>
      <c r="Y37" s="3389"/>
      <c r="Z37" s="1146" t="str">
        <f t="shared" si="15"/>
        <v>成新度</v>
      </c>
      <c r="AA37" s="1568">
        <f t="shared" si="3"/>
        <v>1</v>
      </c>
      <c r="AB37" s="1568">
        <f t="shared" si="4"/>
        <v>1</v>
      </c>
      <c r="AC37" s="1568">
        <f t="shared" si="5"/>
        <v>1</v>
      </c>
    </row>
    <row r="38" spans="1:29" ht="15">
      <c r="A38" s="591"/>
      <c r="B38" s="524" t="s">
        <v>732</v>
      </c>
      <c r="C38" s="3171" t="s">
        <v>3027</v>
      </c>
      <c r="D38" s="537">
        <v>100</v>
      </c>
      <c r="E38" s="3171" t="s">
        <v>3027</v>
      </c>
      <c r="F38" s="572">
        <f>SUMIF(114:114,E38,115:115)-SUMIF(114:114,C38,115:115)+100</f>
        <v>100</v>
      </c>
      <c r="G38" s="3171" t="s">
        <v>3027</v>
      </c>
      <c r="H38" s="537">
        <f>SUMIF(114:114,G38,115:115)-SUMIF(114:114,C38,115:115)+100</f>
        <v>100</v>
      </c>
      <c r="I38" s="3171" t="s">
        <v>3027</v>
      </c>
      <c r="J38" s="537">
        <f>SUMIF(114:114,I38,115:115)-SUMIF(114:114,C38,115:115)+100</f>
        <v>100</v>
      </c>
      <c r="K38" s="861">
        <v>1</v>
      </c>
      <c r="L38" s="2140"/>
      <c r="M38" s="2132"/>
      <c r="N38" s="2132"/>
      <c r="O38" s="2139"/>
      <c r="P38" s="3389" t="s">
        <v>551</v>
      </c>
      <c r="Q38" s="1569" t="str">
        <f t="shared" si="11"/>
        <v>物业管理</v>
      </c>
      <c r="R38" s="1570" t="s">
        <v>11</v>
      </c>
      <c r="S38" s="1571">
        <f t="shared" si="12"/>
        <v>100</v>
      </c>
      <c r="T38" s="1570" t="s">
        <v>11</v>
      </c>
      <c r="U38" s="1571">
        <f t="shared" si="13"/>
        <v>100</v>
      </c>
      <c r="V38" s="1570" t="s">
        <v>11</v>
      </c>
      <c r="W38" s="1571">
        <f t="shared" si="14"/>
        <v>100</v>
      </c>
      <c r="X38" s="1564"/>
      <c r="Y38" s="3389" t="s">
        <v>551</v>
      </c>
      <c r="Z38" s="1572" t="str">
        <f t="shared" si="15"/>
        <v>物业管理</v>
      </c>
      <c r="AA38" s="1573">
        <f t="shared" si="3"/>
        <v>1</v>
      </c>
      <c r="AB38" s="1573">
        <f t="shared" si="4"/>
        <v>1</v>
      </c>
      <c r="AC38" s="1573">
        <f t="shared" si="5"/>
        <v>1</v>
      </c>
    </row>
    <row r="39" spans="1:29" ht="15">
      <c r="A39" s="591"/>
      <c r="B39" s="1893" t="s">
        <v>2571</v>
      </c>
      <c r="C39" s="3171" t="s">
        <v>3028</v>
      </c>
      <c r="D39" s="537">
        <v>100</v>
      </c>
      <c r="E39" s="3171" t="s">
        <v>3028</v>
      </c>
      <c r="F39" s="572">
        <f>SUMIF(116:116,E39,117:117)-SUMIF(116:116,C39,117:117)+100</f>
        <v>100</v>
      </c>
      <c r="G39" s="3171" t="s">
        <v>3028</v>
      </c>
      <c r="H39" s="537">
        <f>SUMIF(116:116,G39,117:117)-SUMIF(116:116,C39,117:117)+100</f>
        <v>100</v>
      </c>
      <c r="I39" s="3171" t="s">
        <v>3028</v>
      </c>
      <c r="J39" s="537">
        <f>SUMIF(116:116,I39,117:117)-SUMIF(116:116,C39,117:117)+100</f>
        <v>100</v>
      </c>
      <c r="K39" s="861">
        <v>1</v>
      </c>
      <c r="L39" s="2140"/>
      <c r="M39" s="2132"/>
      <c r="N39" s="2132"/>
      <c r="O39" s="2139"/>
      <c r="P39" s="3389"/>
      <c r="Q39" s="1569" t="str">
        <f t="shared" si="11"/>
        <v>市政基础设施</v>
      </c>
      <c r="R39" s="1570" t="s">
        <v>11</v>
      </c>
      <c r="S39" s="1571">
        <f t="shared" si="12"/>
        <v>100</v>
      </c>
      <c r="T39" s="1570" t="s">
        <v>11</v>
      </c>
      <c r="U39" s="1571">
        <f t="shared" si="13"/>
        <v>100</v>
      </c>
      <c r="V39" s="1570" t="s">
        <v>11</v>
      </c>
      <c r="W39" s="1571">
        <f t="shared" si="14"/>
        <v>100</v>
      </c>
      <c r="X39" s="1564"/>
      <c r="Y39" s="3389"/>
      <c r="Z39" s="1572" t="str">
        <f t="shared" si="15"/>
        <v>市政基础设施</v>
      </c>
      <c r="AA39" s="1573">
        <f t="shared" si="3"/>
        <v>1</v>
      </c>
      <c r="AB39" s="1573">
        <f t="shared" si="4"/>
        <v>1</v>
      </c>
      <c r="AC39" s="1573">
        <f t="shared" si="5"/>
        <v>1</v>
      </c>
    </row>
    <row r="40" spans="1:29" ht="15" hidden="1">
      <c r="A40" s="591"/>
      <c r="B40" s="524" t="s">
        <v>733</v>
      </c>
      <c r="C40" s="596"/>
      <c r="D40" s="537">
        <v>100</v>
      </c>
      <c r="E40" s="596"/>
      <c r="F40" s="572">
        <f>SUMIF(118:118,E40,119:119)-SUMIF(118:118,C40,119:119)+100</f>
        <v>100</v>
      </c>
      <c r="G40" s="596"/>
      <c r="H40" s="537">
        <f>SUMIF(118:118,G40,119:119)-SUMIF(118:118,C40,119:119)+100</f>
        <v>100</v>
      </c>
      <c r="I40" s="596"/>
      <c r="J40" s="537">
        <f>SUMIF(118:118,I40,119:119)-SUMIF(118:118,C40,119:119)+100</f>
        <v>100</v>
      </c>
      <c r="K40" s="861"/>
      <c r="L40" s="2140"/>
      <c r="M40" s="2132"/>
      <c r="N40" s="2132"/>
      <c r="O40" s="2139"/>
      <c r="P40" s="3389"/>
      <c r="Q40" s="1569" t="str">
        <f t="shared" si="11"/>
        <v>房型</v>
      </c>
      <c r="R40" s="1570" t="s">
        <v>11</v>
      </c>
      <c r="S40" s="1571">
        <f t="shared" si="12"/>
        <v>100</v>
      </c>
      <c r="T40" s="1570" t="s">
        <v>11</v>
      </c>
      <c r="U40" s="1571">
        <f t="shared" si="13"/>
        <v>100</v>
      </c>
      <c r="V40" s="1570" t="s">
        <v>11</v>
      </c>
      <c r="W40" s="1571">
        <f t="shared" si="14"/>
        <v>100</v>
      </c>
      <c r="X40" s="1564"/>
      <c r="Y40" s="3389"/>
      <c r="Z40" s="1572" t="str">
        <f t="shared" si="15"/>
        <v>房型</v>
      </c>
      <c r="AA40" s="1573">
        <f t="shared" si="3"/>
        <v>1</v>
      </c>
      <c r="AB40" s="1573">
        <f t="shared" si="4"/>
        <v>1</v>
      </c>
      <c r="AC40" s="1573">
        <f t="shared" si="5"/>
        <v>1</v>
      </c>
    </row>
    <row r="41" spans="1:29" s="1335" customFormat="1" ht="28.5" hidden="1">
      <c r="A41" s="600"/>
      <c r="B41" s="524" t="s">
        <v>734</v>
      </c>
      <c r="C41" s="876"/>
      <c r="D41" s="254">
        <v>100</v>
      </c>
      <c r="E41" s="876"/>
      <c r="F41" s="860">
        <f>SUMIF(120:120,E41,121:121)-SUMIF(120:120,C41,121:121)+100</f>
        <v>100</v>
      </c>
      <c r="G41" s="876"/>
      <c r="H41" s="254">
        <f>SUMIF(120:120,G41,121:121)-SUMIF(120:120,C41,121:121)+100</f>
        <v>100</v>
      </c>
      <c r="I41" s="876"/>
      <c r="J41" s="537">
        <f>SUMIF(120:120,I41,121:121)-SUMIF(120:120,C41,121:121)+100</f>
        <v>100</v>
      </c>
      <c r="K41" s="862"/>
      <c r="L41" s="2138"/>
      <c r="M41" s="2169"/>
      <c r="N41" s="2169"/>
      <c r="O41" s="2141"/>
      <c r="P41" s="3389"/>
      <c r="Q41" s="1602" t="str">
        <f t="shared" si="11"/>
        <v>单套/主力户型建筑面积</v>
      </c>
      <c r="R41" s="1574" t="s">
        <v>11</v>
      </c>
      <c r="S41" s="1575">
        <f t="shared" si="12"/>
        <v>100</v>
      </c>
      <c r="T41" s="1574" t="s">
        <v>11</v>
      </c>
      <c r="U41" s="1575">
        <f t="shared" si="13"/>
        <v>100</v>
      </c>
      <c r="V41" s="1574" t="s">
        <v>11</v>
      </c>
      <c r="W41" s="1575">
        <f t="shared" si="14"/>
        <v>100</v>
      </c>
      <c r="X41" s="1576"/>
      <c r="Y41" s="3389"/>
      <c r="Z41" s="1577" t="str">
        <f t="shared" si="15"/>
        <v>单套/主力户型建筑面积</v>
      </c>
      <c r="AA41" s="1573">
        <f t="shared" si="3"/>
        <v>1</v>
      </c>
      <c r="AB41" s="1573">
        <f t="shared" si="4"/>
        <v>1</v>
      </c>
      <c r="AC41" s="1573">
        <f t="shared" si="5"/>
        <v>1</v>
      </c>
    </row>
    <row r="42" spans="1:29" ht="15">
      <c r="A42" s="591"/>
      <c r="B42" s="524" t="s">
        <v>735</v>
      </c>
      <c r="C42" s="3171" t="s">
        <v>3029</v>
      </c>
      <c r="D42" s="537">
        <v>100</v>
      </c>
      <c r="E42" s="3171" t="s">
        <v>3029</v>
      </c>
      <c r="F42" s="572">
        <f>SUMIF(122:122,E42,123:123)-SUMIF(122:122,C42,123:123)+100</f>
        <v>100</v>
      </c>
      <c r="G42" s="3171" t="s">
        <v>3029</v>
      </c>
      <c r="H42" s="537">
        <f>SUMIF(122:122,G42,123:123)-SUMIF(122:122,C42,123:123)+100</f>
        <v>100</v>
      </c>
      <c r="I42" s="3171" t="s">
        <v>3029</v>
      </c>
      <c r="J42" s="537">
        <f>SUMIF(122:122,I42,123:123)-SUMIF(122:122,C42,123:123)+100</f>
        <v>100</v>
      </c>
      <c r="K42" s="861">
        <v>2</v>
      </c>
      <c r="L42" s="2140"/>
      <c r="M42" s="2132"/>
      <c r="N42" s="2132"/>
      <c r="O42" s="2139"/>
      <c r="P42" s="3389"/>
      <c r="Q42" s="1569" t="str">
        <f t="shared" si="11"/>
        <v>内部装修</v>
      </c>
      <c r="R42" s="1570" t="s">
        <v>11</v>
      </c>
      <c r="S42" s="1571">
        <f t="shared" si="12"/>
        <v>100</v>
      </c>
      <c r="T42" s="1570" t="s">
        <v>11</v>
      </c>
      <c r="U42" s="1571">
        <f t="shared" si="13"/>
        <v>100</v>
      </c>
      <c r="V42" s="1570" t="s">
        <v>11</v>
      </c>
      <c r="W42" s="1571">
        <f t="shared" si="14"/>
        <v>100</v>
      </c>
      <c r="X42" s="1564"/>
      <c r="Y42" s="3389"/>
      <c r="Z42" s="1572" t="str">
        <f t="shared" si="15"/>
        <v>内部装修</v>
      </c>
      <c r="AA42" s="1573">
        <f t="shared" si="3"/>
        <v>1</v>
      </c>
      <c r="AB42" s="1573">
        <f t="shared" si="4"/>
        <v>1</v>
      </c>
      <c r="AC42" s="1573">
        <f t="shared" si="5"/>
        <v>1</v>
      </c>
    </row>
    <row r="43" spans="1:29" ht="27.75" thickBot="1">
      <c r="A43" s="591"/>
      <c r="B43" s="524" t="s">
        <v>736</v>
      </c>
      <c r="C43" s="3171" t="s">
        <v>3030</v>
      </c>
      <c r="D43" s="537">
        <v>100</v>
      </c>
      <c r="E43" s="3171" t="s">
        <v>3030</v>
      </c>
      <c r="F43" s="572">
        <f>SUMIF(124:124,E43,125:125)-SUMIF(124:124,C43,125:125)+100</f>
        <v>100</v>
      </c>
      <c r="G43" s="3171" t="s">
        <v>3030</v>
      </c>
      <c r="H43" s="537">
        <f>SUMIF(124:124,G43,125:125)-SUMIF(124:124,C43,125:125)+100</f>
        <v>100</v>
      </c>
      <c r="I43" s="3171" t="s">
        <v>3030</v>
      </c>
      <c r="J43" s="537">
        <f>SUMIF(124:124,I43,125:125)-SUMIF(124:124,C43,125:125)+100</f>
        <v>100</v>
      </c>
      <c r="K43" s="861">
        <v>1</v>
      </c>
      <c r="L43" s="2140"/>
      <c r="M43" s="2132"/>
      <c r="N43" s="2132"/>
      <c r="O43" s="2139"/>
      <c r="P43" s="3389"/>
      <c r="Q43" s="1569" t="str">
        <f t="shared" si="11"/>
        <v>内部装修维护情况</v>
      </c>
      <c r="R43" s="1570" t="s">
        <v>11</v>
      </c>
      <c r="S43" s="1571">
        <f t="shared" si="12"/>
        <v>100</v>
      </c>
      <c r="T43" s="1570" t="s">
        <v>11</v>
      </c>
      <c r="U43" s="1571">
        <f t="shared" si="13"/>
        <v>100</v>
      </c>
      <c r="V43" s="1570" t="s">
        <v>11</v>
      </c>
      <c r="W43" s="1571">
        <f t="shared" si="14"/>
        <v>100</v>
      </c>
      <c r="X43" s="1564"/>
      <c r="Y43" s="3389"/>
      <c r="Z43" s="1572" t="str">
        <f t="shared" si="15"/>
        <v>内部装修维护情况</v>
      </c>
      <c r="AA43" s="1573">
        <f t="shared" si="3"/>
        <v>1</v>
      </c>
      <c r="AB43" s="1573">
        <f t="shared" si="4"/>
        <v>1</v>
      </c>
      <c r="AC43" s="1573">
        <f t="shared" si="5"/>
        <v>1</v>
      </c>
    </row>
    <row r="44" spans="1:29" s="1216" customFormat="1" ht="15" hidden="1">
      <c r="A44" s="597"/>
      <c r="B44" s="874">
        <v>111</v>
      </c>
      <c r="C44" s="876"/>
      <c r="D44" s="254">
        <v>100</v>
      </c>
      <c r="E44" s="876"/>
      <c r="F44" s="860">
        <f>SUMIF(126:126,E44,127:127)-SUMIF(126:126,C44,127:127)+100</f>
        <v>100</v>
      </c>
      <c r="G44" s="876"/>
      <c r="H44" s="254">
        <f>SUMIF(126:126,G44,127:127)-SUMIF(126:126,C44,127:127)+100</f>
        <v>100</v>
      </c>
      <c r="I44" s="876"/>
      <c r="J44" s="254">
        <f>SUMIF(126:126,I44,127:127)-SUMIF(126:126,C44,127:127)+100</f>
        <v>100</v>
      </c>
      <c r="K44" s="862"/>
      <c r="L44" s="2133"/>
      <c r="M44" s="2134"/>
      <c r="N44" s="2134"/>
      <c r="O44" s="2135"/>
      <c r="P44" s="3389"/>
      <c r="Q44" s="1147">
        <f t="shared" si="11"/>
        <v>111</v>
      </c>
      <c r="R44" s="1565" t="s">
        <v>11</v>
      </c>
      <c r="S44" s="1566">
        <f t="shared" si="12"/>
        <v>100</v>
      </c>
      <c r="T44" s="1565" t="s">
        <v>11</v>
      </c>
      <c r="U44" s="1566">
        <f t="shared" si="13"/>
        <v>100</v>
      </c>
      <c r="V44" s="1565" t="s">
        <v>11</v>
      </c>
      <c r="W44" s="1566">
        <f t="shared" si="14"/>
        <v>100</v>
      </c>
      <c r="X44" s="1567"/>
      <c r="Y44" s="3389"/>
      <c r="Z44" s="1146">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0"/>
      <c r="M45" s="2132"/>
      <c r="N45" s="2132"/>
      <c r="O45" s="2139"/>
      <c r="P45" s="3389"/>
      <c r="Q45" s="1569">
        <f t="shared" si="11"/>
        <v>111</v>
      </c>
      <c r="R45" s="1570" t="s">
        <v>11</v>
      </c>
      <c r="S45" s="1571">
        <f t="shared" si="12"/>
        <v>100</v>
      </c>
      <c r="T45" s="1570" t="s">
        <v>11</v>
      </c>
      <c r="U45" s="1571">
        <f t="shared" si="13"/>
        <v>100</v>
      </c>
      <c r="V45" s="1570" t="s">
        <v>11</v>
      </c>
      <c r="W45" s="1571">
        <f t="shared" si="14"/>
        <v>100</v>
      </c>
      <c r="X45" s="1564"/>
      <c r="Y45" s="3389"/>
      <c r="Z45" s="1572">
        <f t="shared" si="15"/>
        <v>111</v>
      </c>
      <c r="AA45" s="1573">
        <f t="shared" si="3"/>
        <v>1</v>
      </c>
      <c r="AB45" s="1573">
        <f t="shared" si="4"/>
        <v>1</v>
      </c>
      <c r="AC45" s="1573">
        <f t="shared" si="5"/>
        <v>1</v>
      </c>
    </row>
    <row r="46" spans="1:29" ht="15.75" hidden="1"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0"/>
      <c r="M46" s="2132"/>
      <c r="N46" s="2132"/>
      <c r="O46" s="2139"/>
      <c r="P46" s="3467"/>
      <c r="Q46" s="1569">
        <f t="shared" si="11"/>
        <v>111</v>
      </c>
      <c r="R46" s="1570" t="s">
        <v>10</v>
      </c>
      <c r="S46" s="1571">
        <f t="shared" si="12"/>
        <v>100</v>
      </c>
      <c r="T46" s="1570" t="s">
        <v>10</v>
      </c>
      <c r="U46" s="1571">
        <f t="shared" si="13"/>
        <v>100</v>
      </c>
      <c r="V46" s="1570" t="s">
        <v>10</v>
      </c>
      <c r="W46" s="1571">
        <f t="shared" si="14"/>
        <v>100</v>
      </c>
      <c r="X46" s="1564"/>
      <c r="Y46" s="3467"/>
      <c r="Z46" s="1572">
        <f t="shared" si="15"/>
        <v>111</v>
      </c>
      <c r="AA46" s="1573">
        <f t="shared" si="3"/>
        <v>1</v>
      </c>
      <c r="AB46" s="1573">
        <f t="shared" si="4"/>
        <v>1</v>
      </c>
      <c r="AC46" s="1573">
        <f t="shared" si="5"/>
        <v>1</v>
      </c>
    </row>
    <row r="47" spans="1:29" ht="15">
      <c r="A47" s="604" t="s">
        <v>737</v>
      </c>
      <c r="B47" s="883"/>
      <c r="C47" s="2649" t="s">
        <v>9</v>
      </c>
      <c r="D47" s="2650"/>
      <c r="E47" s="2651">
        <f>ROUND(32000*0.98,0)</f>
        <v>31360</v>
      </c>
      <c r="F47" s="2652"/>
      <c r="G47" s="2653">
        <f>ROUND(31000*0.98,0)</f>
        <v>30380</v>
      </c>
      <c r="H47" s="2654"/>
      <c r="I47" s="2651">
        <f>ROUND(32000*0.98,0)</f>
        <v>31360</v>
      </c>
      <c r="J47" s="2654"/>
      <c r="K47" s="1603"/>
      <c r="L47" s="2142"/>
      <c r="M47" s="2143"/>
      <c r="N47" s="2132"/>
      <c r="O47" s="2143"/>
      <c r="P47" s="3384" t="str">
        <f>A47</f>
        <v>成交单价（元/平方米）</v>
      </c>
      <c r="Q47" s="3384"/>
      <c r="R47" s="3466">
        <f>E47</f>
        <v>31360</v>
      </c>
      <c r="S47" s="3466"/>
      <c r="T47" s="3466">
        <f>G47</f>
        <v>30380</v>
      </c>
      <c r="U47" s="3466"/>
      <c r="V47" s="3466">
        <f>I47</f>
        <v>31360</v>
      </c>
      <c r="W47" s="3466"/>
      <c r="X47" s="1556"/>
      <c r="Y47" s="1578"/>
      <c r="Z47" s="1556"/>
      <c r="AA47" s="1556"/>
      <c r="AB47" s="1556"/>
      <c r="AC47" s="1556"/>
    </row>
    <row r="48" spans="1:29" ht="15.75" thickBot="1">
      <c r="A48" s="612" t="s">
        <v>2769</v>
      </c>
      <c r="B48" s="884"/>
      <c r="C48" s="2655">
        <f>R49</f>
        <v>29836</v>
      </c>
      <c r="D48" s="2656"/>
      <c r="E48" s="2657">
        <f>R48</f>
        <v>30145</v>
      </c>
      <c r="F48" s="2657"/>
      <c r="G48" s="2655">
        <f>T48</f>
        <v>28917</v>
      </c>
      <c r="H48" s="2656"/>
      <c r="I48" s="2657">
        <f>V48</f>
        <v>30447</v>
      </c>
      <c r="J48" s="2656"/>
      <c r="K48" s="1604"/>
      <c r="L48" s="2142"/>
      <c r="M48" s="2143"/>
      <c r="N48" s="2143"/>
      <c r="O48" s="2143"/>
      <c r="P48" s="3384" t="str">
        <f>A48</f>
        <v>比较价格（元/平方米）</v>
      </c>
      <c r="Q48" s="3384"/>
      <c r="R48" s="3466">
        <f>IF(F1="售价",ROUND(PRODUCT(R47,AA7:AA46),0),ROUND(PRODUCT(R47,AA7:AA46),1))</f>
        <v>30145</v>
      </c>
      <c r="S48" s="3466"/>
      <c r="T48" s="3466">
        <f>IF(F1="售价",ROUND(PRODUCT(T47,AB7:AB46),0),ROUND(PRODUCT(T47,AB7:AB46),1))</f>
        <v>28917</v>
      </c>
      <c r="U48" s="3466"/>
      <c r="V48" s="3466">
        <f>IF(F1="售价",ROUND(PRODUCT(V47,AC7:AC46),0),ROUND(PRODUCT(V47,AC7:AC46),1))</f>
        <v>30447</v>
      </c>
      <c r="W48" s="3466"/>
      <c r="X48" s="1556"/>
      <c r="Y48" s="1556"/>
      <c r="Z48" s="1556"/>
      <c r="AA48" s="1556"/>
      <c r="AB48" s="1556"/>
      <c r="AC48" s="1556"/>
    </row>
    <row r="49" spans="1:29" ht="15.75" thickBot="1">
      <c r="A49" s="618" t="s">
        <v>2946</v>
      </c>
      <c r="B49" s="619"/>
      <c r="C49" s="2658">
        <f>R49</f>
        <v>29836</v>
      </c>
      <c r="D49" s="2658"/>
      <c r="E49" s="2658"/>
      <c r="F49" s="2658"/>
      <c r="G49" s="2658"/>
      <c r="H49" s="2658"/>
      <c r="I49" s="2658"/>
      <c r="J49" s="2658"/>
      <c r="K49" s="1605"/>
      <c r="L49" s="2142"/>
      <c r="M49" s="2143"/>
      <c r="N49" s="2143"/>
      <c r="O49" s="2143"/>
      <c r="P49" s="3406" t="str">
        <f>A49</f>
        <v>估价对象XX用房的比较价格（楼面单价，元/平方米）</v>
      </c>
      <c r="Q49" s="3407"/>
      <c r="R49" s="3465">
        <f>IF(F1="售价",ROUND(AVERAGE(R48:V48),0),ROUND(AVERAGE(R48:V48),1))</f>
        <v>29836</v>
      </c>
      <c r="S49" s="3465"/>
      <c r="T49" s="3465"/>
      <c r="U49" s="3465"/>
      <c r="V49" s="3465"/>
      <c r="W49" s="3465"/>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f>IF(E47&lt;E48,E48/E47-1,E47/E48-1)</f>
        <v>4.0305191574058652E-2</v>
      </c>
      <c r="F52" s="624" t="str">
        <f>IF(OR(E52&gt;=0.3,E52&lt;=-0.3),"超过30%","")</f>
        <v/>
      </c>
      <c r="G52" s="623">
        <f>IF(G47&lt;G48,G48/G47-1,G47/G48-1)</f>
        <v>5.0593076736867637E-2</v>
      </c>
      <c r="H52" s="624" t="str">
        <f>IF(OR(G52&gt;=0.3,G52&lt;=-0.3),"超过30%","")</f>
        <v/>
      </c>
      <c r="I52" s="623">
        <f>IF(I47&lt;I48,I48/I47-1,I47/I48-1)</f>
        <v>2.9986533977074847E-2</v>
      </c>
      <c r="J52" s="624"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f>IF(E48&lt;G48,G48/E48-1,E48/G48-1)</f>
        <v>4.24663692637548E-2</v>
      </c>
      <c r="F53" s="624" t="str">
        <f>IF(OR(E53&gt;=0.2,E53&lt;=-0.2),"超过20%","")</f>
        <v/>
      </c>
      <c r="G53" s="623">
        <f>IF(G48&lt;I48,I48/G48-1,G48/I48-1)</f>
        <v>5.2910052910053018E-2</v>
      </c>
      <c r="H53" s="624" t="str">
        <f>IF(OR(G53&gt;=0.2,G53&lt;=-0.2),"超过20%","")</f>
        <v/>
      </c>
      <c r="I53" s="623">
        <f>IF(I48&lt;E48,E48/I48-1,I48/E48-1)</f>
        <v>1.0018245148449179E-2</v>
      </c>
      <c r="J53" s="624"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f>IF(E47&lt;G47,G47/E47-1,E47/G47-1)</f>
        <v>3.2258064516129004E-2</v>
      </c>
      <c r="F54" s="624" t="str">
        <f>IF(OR(E54&gt;=0.3,E54&lt;=-0.3),"超过30%","")</f>
        <v/>
      </c>
      <c r="G54" s="623">
        <f>IF(G47&lt;I47,I47/G47-1,G47/I47-1)</f>
        <v>3.2258064516129004E-2</v>
      </c>
      <c r="H54" s="624" t="str">
        <f>IF(OR(G54&gt;=0.3,G54&lt;=-0.3),"超过30%","")</f>
        <v/>
      </c>
      <c r="I54" s="623">
        <f>IF(I47&lt;E47,E47/I47-1,I47/E47-1)</f>
        <v>0</v>
      </c>
      <c r="J54" s="624"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7"/>
      <c r="N59" s="647"/>
      <c r="O59" s="647"/>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991"/>
    </row>
    <row r="63" spans="1:29">
      <c r="A63" s="661" t="s">
        <v>578</v>
      </c>
      <c r="B63" s="662" t="s">
        <v>535</v>
      </c>
      <c r="C63" s="701" t="str">
        <f>C9</f>
        <v>住宅</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v>0</v>
      </c>
      <c r="D68" s="538">
        <v>1</v>
      </c>
      <c r="E68" s="538">
        <v>2</v>
      </c>
      <c r="F68" s="538">
        <v>3</v>
      </c>
      <c r="G68" s="538">
        <v>4</v>
      </c>
      <c r="H68" s="538">
        <v>5</v>
      </c>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89"/>
      <c r="E73" s="689"/>
      <c r="F73" s="689"/>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98</v>
      </c>
      <c r="E77" s="676">
        <f>D77-$K15</f>
        <v>96</v>
      </c>
      <c r="F77" s="676">
        <f>E77-$K15</f>
        <v>94</v>
      </c>
      <c r="G77" s="676">
        <f>F77-$K15</f>
        <v>92</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98</v>
      </c>
      <c r="E79" s="676">
        <f>D79-$K17</f>
        <v>96</v>
      </c>
      <c r="F79" s="676">
        <f>E79-$K17</f>
        <v>94</v>
      </c>
      <c r="G79" s="676">
        <f>F79-$K17</f>
        <v>92</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99</v>
      </c>
      <c r="E81" s="676">
        <f>D81-$K19</f>
        <v>98</v>
      </c>
      <c r="F81" s="676">
        <f>E81-$K19</f>
        <v>97</v>
      </c>
      <c r="G81" s="676">
        <f>F81-$K19</f>
        <v>96</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99</v>
      </c>
      <c r="E83" s="676">
        <f>D83-$K21</f>
        <v>98</v>
      </c>
      <c r="F83" s="676">
        <f>E83-$K21</f>
        <v>97</v>
      </c>
      <c r="G83" s="676">
        <f>F83-$K21</f>
        <v>96</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98</v>
      </c>
      <c r="E85" s="676">
        <f>D85-$K23</f>
        <v>96</v>
      </c>
      <c r="F85" s="676">
        <f>E85-$K23</f>
        <v>94</v>
      </c>
      <c r="G85" s="676">
        <f>F85-$K23</f>
        <v>92</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1894" t="s">
        <v>2261</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
        <v>747</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道路级别</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689"/>
      <c r="D91" s="689"/>
      <c r="E91" s="689"/>
      <c r="F91" s="689"/>
      <c r="G91" s="689"/>
      <c r="H91" s="690"/>
      <c r="I91" s="690"/>
      <c r="J91" s="690"/>
      <c r="K91" s="690"/>
      <c r="L91" s="690"/>
      <c r="M91" s="691"/>
      <c r="N91" s="2165"/>
      <c r="O91" s="2165"/>
      <c r="P91" s="2166"/>
      <c r="Q91" s="2167"/>
      <c r="R91" s="2168"/>
      <c r="S91" s="2168"/>
      <c r="T91" s="2168"/>
      <c r="U91" s="2168"/>
      <c r="V91" s="2168"/>
      <c r="W91" s="2168"/>
      <c r="X91" s="2168"/>
      <c r="Y91" s="2168"/>
      <c r="Z91" s="2168"/>
      <c r="AA91" s="2168"/>
      <c r="AB91" s="2168"/>
      <c r="AC91" s="2168"/>
    </row>
    <row r="92" spans="1:29" ht="15.75" thickTop="1">
      <c r="A92" s="666"/>
      <c r="B92" s="670">
        <f>B28</f>
        <v>111</v>
      </c>
      <c r="C92" s="685"/>
      <c r="D92" s="685"/>
      <c r="E92" s="685"/>
      <c r="F92" s="685"/>
      <c r="G92" s="715"/>
      <c r="H92" s="715"/>
      <c r="I92" s="715"/>
      <c r="J92" s="715"/>
      <c r="K92" s="716"/>
      <c r="L92" s="717"/>
      <c r="M92" s="718"/>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89"/>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89"/>
      <c r="E95" s="689"/>
      <c r="F95" s="689"/>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97"/>
      <c r="D97" s="697"/>
      <c r="E97" s="697"/>
      <c r="F97" s="697"/>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719"/>
      <c r="D98" s="719"/>
      <c r="E98" s="719"/>
      <c r="F98" s="719"/>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723"/>
      <c r="D99" s="723"/>
      <c r="E99" s="723"/>
      <c r="F99" s="723"/>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748</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2">C101-$K32</f>
        <v>99</v>
      </c>
      <c r="E101" s="676">
        <f t="shared" si="22"/>
        <v>98</v>
      </c>
      <c r="F101" s="676">
        <f t="shared" si="22"/>
        <v>97</v>
      </c>
      <c r="G101" s="676">
        <f t="shared" si="22"/>
        <v>96</v>
      </c>
      <c r="H101" s="676">
        <f t="shared" si="22"/>
        <v>95</v>
      </c>
      <c r="I101" s="676">
        <f t="shared" si="22"/>
        <v>94</v>
      </c>
      <c r="J101" s="676">
        <f t="shared" si="22"/>
        <v>93</v>
      </c>
      <c r="K101" s="676">
        <f t="shared" si="22"/>
        <v>92</v>
      </c>
      <c r="L101" s="676">
        <f t="shared" si="22"/>
        <v>91</v>
      </c>
      <c r="M101" s="676">
        <f t="shared" si="22"/>
        <v>90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6"/>
      <c r="B102" s="670" t="s">
        <v>749</v>
      </c>
      <c r="C102" s="705" t="str">
        <f>C103&amp;"(含)"&amp;"-"&amp;D103</f>
        <v>0(含)-50000</v>
      </c>
      <c r="D102" s="705" t="str">
        <f t="shared" ref="D102:L102" si="23">D103&amp;"(含)"&amp;"-"&amp;E103</f>
        <v>50000(含)-100000</v>
      </c>
      <c r="E102" s="705" t="str">
        <f t="shared" si="23"/>
        <v>100000(含)-150000</v>
      </c>
      <c r="F102" s="705" t="str">
        <f t="shared" si="23"/>
        <v>150000(含)-200000</v>
      </c>
      <c r="G102" s="705" t="str">
        <f t="shared" si="23"/>
        <v>200000(含)-250000</v>
      </c>
      <c r="H102" s="705" t="str">
        <f t="shared" si="23"/>
        <v>250000(含)-</v>
      </c>
      <c r="I102" s="705" t="str">
        <f t="shared" si="23"/>
        <v>(含)-</v>
      </c>
      <c r="J102" s="705" t="str">
        <f t="shared" si="23"/>
        <v>(含)-</v>
      </c>
      <c r="K102" s="705" t="str">
        <f t="shared" si="23"/>
        <v>(含)-</v>
      </c>
      <c r="L102" s="705" t="str">
        <f t="shared" si="23"/>
        <v>(含)-</v>
      </c>
      <c r="M102" s="705"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v>0</v>
      </c>
      <c r="D103" s="727">
        <v>50000</v>
      </c>
      <c r="E103" s="727">
        <v>100000</v>
      </c>
      <c r="F103" s="727">
        <v>150000</v>
      </c>
      <c r="G103" s="727">
        <v>200000</v>
      </c>
      <c r="H103" s="727">
        <v>250000</v>
      </c>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v>100</v>
      </c>
      <c r="D104" s="668">
        <v>101</v>
      </c>
      <c r="E104" s="668">
        <v>102</v>
      </c>
      <c r="F104" s="668">
        <v>103</v>
      </c>
      <c r="G104" s="668">
        <v>104</v>
      </c>
      <c r="H104" s="668">
        <v>105</v>
      </c>
      <c r="I104" s="668"/>
      <c r="J104" s="668"/>
      <c r="K104" s="668"/>
      <c r="L104" s="668"/>
      <c r="M104" s="668"/>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751</v>
      </c>
      <c r="C107" s="715"/>
      <c r="D107" s="715"/>
      <c r="E107" s="71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5">C108-$K35</f>
        <v>99</v>
      </c>
      <c r="E108" s="676">
        <f t="shared" si="25"/>
        <v>98</v>
      </c>
      <c r="F108" s="676">
        <f t="shared" si="25"/>
        <v>97</v>
      </c>
      <c r="G108" s="676">
        <f t="shared" si="25"/>
        <v>96</v>
      </c>
      <c r="H108" s="676">
        <f t="shared" si="25"/>
        <v>95</v>
      </c>
      <c r="I108" s="676">
        <f t="shared" si="25"/>
        <v>94</v>
      </c>
      <c r="J108" s="676">
        <f t="shared" si="25"/>
        <v>93</v>
      </c>
      <c r="K108" s="676">
        <f t="shared" si="25"/>
        <v>92</v>
      </c>
      <c r="L108" s="676">
        <f t="shared" si="25"/>
        <v>91</v>
      </c>
      <c r="M108" s="676">
        <f t="shared" si="25"/>
        <v>90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752</v>
      </c>
      <c r="C109" s="685"/>
      <c r="D109" s="685"/>
      <c r="E109" s="685"/>
      <c r="F109" s="715"/>
      <c r="G109" s="715"/>
      <c r="H109" s="71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ht="15.75" thickBot="1">
      <c r="A110" s="666"/>
      <c r="B110" s="675"/>
      <c r="C110" s="676">
        <v>100</v>
      </c>
      <c r="D110" s="676">
        <f t="shared" ref="D110:M110" si="26">C110-$K36</f>
        <v>99</v>
      </c>
      <c r="E110" s="676">
        <f t="shared" si="26"/>
        <v>98</v>
      </c>
      <c r="F110" s="676">
        <f t="shared" si="26"/>
        <v>97</v>
      </c>
      <c r="G110" s="676">
        <f t="shared" si="26"/>
        <v>96</v>
      </c>
      <c r="H110" s="676">
        <f t="shared" si="26"/>
        <v>95</v>
      </c>
      <c r="I110" s="676">
        <f t="shared" si="26"/>
        <v>94</v>
      </c>
      <c r="J110" s="676">
        <f t="shared" si="26"/>
        <v>93</v>
      </c>
      <c r="K110" s="676">
        <f t="shared" si="26"/>
        <v>92</v>
      </c>
      <c r="L110" s="676">
        <f t="shared" si="26"/>
        <v>91</v>
      </c>
      <c r="M110" s="676">
        <f t="shared" si="26"/>
        <v>90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5"/>
      <c r="B112" s="678"/>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754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99</v>
      </c>
      <c r="E115" s="676">
        <f t="shared" si="27"/>
        <v>98</v>
      </c>
      <c r="F115" s="676">
        <f t="shared" si="27"/>
        <v>97</v>
      </c>
      <c r="G115" s="676">
        <f t="shared" si="27"/>
        <v>96</v>
      </c>
      <c r="H115" s="676">
        <f t="shared" si="27"/>
        <v>95</v>
      </c>
      <c r="I115" s="676">
        <f t="shared" si="27"/>
        <v>94</v>
      </c>
      <c r="J115" s="676">
        <f t="shared" si="27"/>
        <v>93</v>
      </c>
      <c r="K115" s="676">
        <f t="shared" si="27"/>
        <v>92</v>
      </c>
      <c r="L115" s="676">
        <f t="shared" si="27"/>
        <v>91</v>
      </c>
      <c r="M115" s="676">
        <f t="shared" si="27"/>
        <v>90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1894" t="s">
        <v>2563</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755</v>
      </c>
      <c r="C118" s="715"/>
      <c r="D118" s="715"/>
      <c r="E118" s="715"/>
      <c r="F118" s="715"/>
      <c r="G118" s="715"/>
      <c r="H118" s="715"/>
      <c r="I118" s="715"/>
      <c r="J118" s="715"/>
      <c r="K118" s="716"/>
      <c r="L118" s="717"/>
      <c r="M118" s="71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5"/>
      <c r="B120" s="670" t="s">
        <v>734</v>
      </c>
      <c r="C120" s="685"/>
      <c r="D120" s="685"/>
      <c r="E120" s="685"/>
      <c r="F120" s="685"/>
      <c r="G120" s="685"/>
      <c r="H120" s="685"/>
      <c r="I120" s="685"/>
      <c r="J120" s="685"/>
      <c r="K120" s="685"/>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689"/>
      <c r="D121" s="668"/>
      <c r="E121" s="668"/>
      <c r="F121" s="668"/>
      <c r="G121" s="668"/>
      <c r="H121" s="668"/>
      <c r="I121" s="668"/>
      <c r="J121" s="668"/>
      <c r="K121" s="668"/>
      <c r="L121" s="668"/>
      <c r="M121" s="668"/>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99</v>
      </c>
      <c r="E125" s="676">
        <f>D125-$K43</f>
        <v>98</v>
      </c>
      <c r="F125" s="676">
        <f>E125-$K43</f>
        <v>97</v>
      </c>
      <c r="G125" s="676">
        <f>F125-$K43</f>
        <v>96</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89"/>
      <c r="E129" s="689"/>
      <c r="F129" s="689"/>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3">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3">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3">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4" sqref="A4:J49"/>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778</v>
      </c>
      <c r="C1" s="501" t="s">
        <v>721</v>
      </c>
      <c r="D1" s="846" t="s">
        <v>1679</v>
      </c>
      <c r="E1" s="503"/>
      <c r="F1" s="2831" t="s">
        <v>3000</v>
      </c>
      <c r="G1" s="1598" t="s">
        <v>722</v>
      </c>
      <c r="H1" s="503"/>
      <c r="I1" s="503"/>
      <c r="J1" s="503"/>
      <c r="K1" s="504"/>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0" t="s">
        <v>467</v>
      </c>
      <c r="B2" s="847">
        <f>ROUND(B3*D3/10000,0)</f>
        <v>46415</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6" t="s">
        <v>520</v>
      </c>
      <c r="B3" s="507">
        <f>C50</f>
        <v>18566</v>
      </c>
      <c r="C3" s="849" t="s">
        <v>723</v>
      </c>
      <c r="D3" s="848">
        <f>SUMIF('数据-汇总表'!$C19:$C33,D1,'数据-汇总表'!$E19:$E33)</f>
        <v>25000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09" t="s">
        <v>522</v>
      </c>
      <c r="B4" s="510"/>
      <c r="C4" s="3390" t="s">
        <v>523</v>
      </c>
      <c r="D4" s="3391"/>
      <c r="E4" s="3415" t="s">
        <v>524</v>
      </c>
      <c r="F4" s="3416"/>
      <c r="G4" s="3390" t="s">
        <v>525</v>
      </c>
      <c r="H4" s="3391"/>
      <c r="I4" s="3390" t="s">
        <v>526</v>
      </c>
      <c r="J4" s="3391"/>
      <c r="K4" s="511" t="s">
        <v>527</v>
      </c>
      <c r="L4" s="2131"/>
      <c r="M4" s="2132"/>
      <c r="N4" s="2132"/>
      <c r="O4" s="2132"/>
      <c r="P4" s="3468" t="s">
        <v>528</v>
      </c>
      <c r="Q4" s="3393"/>
      <c r="R4" s="3378" t="s">
        <v>524</v>
      </c>
      <c r="S4" s="3379"/>
      <c r="T4" s="3378" t="s">
        <v>525</v>
      </c>
      <c r="U4" s="3379"/>
      <c r="V4" s="3398" t="s">
        <v>526</v>
      </c>
      <c r="W4" s="3398"/>
      <c r="X4" s="1564"/>
      <c r="Y4" s="3378" t="s">
        <v>528</v>
      </c>
      <c r="Z4" s="3379"/>
      <c r="AA4" s="3373" t="s">
        <v>524</v>
      </c>
      <c r="AB4" s="3373" t="s">
        <v>525</v>
      </c>
      <c r="AC4" s="3373" t="s">
        <v>526</v>
      </c>
    </row>
    <row r="5" spans="1:29" ht="15">
      <c r="A5" s="512"/>
      <c r="B5" s="513"/>
      <c r="C5" s="3401" t="s">
        <v>2940</v>
      </c>
      <c r="D5" s="3402"/>
      <c r="E5" s="3462" t="s">
        <v>3039</v>
      </c>
      <c r="F5" s="3418"/>
      <c r="G5" s="3401" t="s">
        <v>2942</v>
      </c>
      <c r="H5" s="3402"/>
      <c r="I5" s="3401" t="s">
        <v>2943</v>
      </c>
      <c r="J5" s="3402"/>
      <c r="K5" s="511"/>
      <c r="L5" s="2131"/>
      <c r="M5" s="2132"/>
      <c r="N5" s="2132"/>
      <c r="O5" s="2132"/>
      <c r="P5" s="3469"/>
      <c r="Q5" s="3395"/>
      <c r="R5" s="3380"/>
      <c r="S5" s="3381"/>
      <c r="T5" s="3380"/>
      <c r="U5" s="3381"/>
      <c r="V5" s="3398"/>
      <c r="W5" s="3398"/>
      <c r="X5" s="1564"/>
      <c r="Y5" s="3380"/>
      <c r="Z5" s="3381"/>
      <c r="AA5" s="3374"/>
      <c r="AB5" s="3374"/>
      <c r="AC5" s="3374"/>
    </row>
    <row r="6" spans="1:29" ht="15.75" thickBot="1">
      <c r="A6" s="514"/>
      <c r="B6" s="515"/>
      <c r="C6" s="3419" t="s">
        <v>2944</v>
      </c>
      <c r="D6" s="3400"/>
      <c r="E6" s="3464" t="s">
        <v>3040</v>
      </c>
      <c r="F6" s="3421"/>
      <c r="G6" s="3419" t="s">
        <v>2944</v>
      </c>
      <c r="H6" s="3400"/>
      <c r="I6" s="3419" t="s">
        <v>2944</v>
      </c>
      <c r="J6" s="3400"/>
      <c r="K6" s="511" t="s">
        <v>529</v>
      </c>
      <c r="L6" s="2131"/>
      <c r="M6" s="2132"/>
      <c r="N6" s="2132"/>
      <c r="O6" s="2132"/>
      <c r="P6" s="3470"/>
      <c r="Q6" s="3397"/>
      <c r="R6" s="3380"/>
      <c r="S6" s="3381"/>
      <c r="T6" s="3382"/>
      <c r="U6" s="3383"/>
      <c r="V6" s="3398"/>
      <c r="W6" s="3398"/>
      <c r="X6" s="1564"/>
      <c r="Y6" s="3382"/>
      <c r="Z6" s="3383"/>
      <c r="AA6" s="3375"/>
      <c r="AB6" s="3375"/>
      <c r="AC6" s="3375"/>
    </row>
    <row r="7" spans="1:29" s="1216" customFormat="1" ht="15.75" thickBot="1">
      <c r="A7" s="2935"/>
      <c r="B7" s="2942" t="s">
        <v>530</v>
      </c>
      <c r="C7" s="516">
        <f>'数据-取费表'!B2</f>
        <v>43123</v>
      </c>
      <c r="D7" s="517">
        <v>100</v>
      </c>
      <c r="E7" s="518">
        <v>43101</v>
      </c>
      <c r="F7" s="519">
        <f>SUMIF(59:59,YEAR(E7)&amp;"-"&amp;MONTH(E7),60:60)</f>
        <v>100</v>
      </c>
      <c r="G7" s="518">
        <v>43101</v>
      </c>
      <c r="H7" s="517">
        <f>SUMIF(59:59,YEAR(G7)&amp;"-"&amp;MONTH(G7),60:60)</f>
        <v>100</v>
      </c>
      <c r="I7" s="518">
        <v>43101</v>
      </c>
      <c r="J7" s="517">
        <f>SUMIF(59:59,YEAR(I7)&amp;"-"&amp;MONTH(I7),60:60)</f>
        <v>100</v>
      </c>
      <c r="K7" s="521"/>
      <c r="L7" s="2133"/>
      <c r="M7" s="2134"/>
      <c r="N7" s="2134"/>
      <c r="O7" s="2134"/>
      <c r="P7" s="3385" t="s">
        <v>531</v>
      </c>
      <c r="Q7" s="3385"/>
      <c r="R7" s="1565" t="s">
        <v>8</v>
      </c>
      <c r="S7" s="1566">
        <f t="shared" ref="S7:S15" si="0">F7</f>
        <v>100</v>
      </c>
      <c r="T7" s="1565" t="s">
        <v>8</v>
      </c>
      <c r="U7" s="1566">
        <f t="shared" ref="U7:U15" si="1">H7</f>
        <v>100</v>
      </c>
      <c r="V7" s="1565" t="s">
        <v>8</v>
      </c>
      <c r="W7" s="1566">
        <f t="shared" ref="W7:W15" si="2">J7</f>
        <v>100</v>
      </c>
      <c r="X7" s="1567"/>
      <c r="Y7" s="3376" t="s">
        <v>531</v>
      </c>
      <c r="Z7" s="3377"/>
      <c r="AA7" s="1568">
        <f>D7/F7</f>
        <v>1</v>
      </c>
      <c r="AB7" s="1568">
        <f>D7/H7</f>
        <v>1</v>
      </c>
      <c r="AC7" s="1568">
        <f>D7/J7</f>
        <v>1</v>
      </c>
    </row>
    <row r="8" spans="1:29" s="1216" customFormat="1" ht="15.75" thickBot="1">
      <c r="A8" s="2936"/>
      <c r="B8" s="2943" t="s">
        <v>532</v>
      </c>
      <c r="C8" s="522" t="s">
        <v>577</v>
      </c>
      <c r="D8" s="517">
        <v>100</v>
      </c>
      <c r="E8" s="3165" t="s">
        <v>3041</v>
      </c>
      <c r="F8" s="519">
        <f>SUMIF(62:62,E8,63:63)-SUMIF(62:62,C8,63:63)+100</f>
        <v>100</v>
      </c>
      <c r="G8" s="3165" t="s">
        <v>3041</v>
      </c>
      <c r="H8" s="517">
        <f>SUMIF(62:62,G8,63:63)-SUMIF(62:62,C8,63:63)+100</f>
        <v>100</v>
      </c>
      <c r="I8" s="3165" t="s">
        <v>3041</v>
      </c>
      <c r="J8" s="517">
        <f>SUMIF(62:62,I8,63:63)-SUMIF(62:62,C8,63:63)+100</f>
        <v>100</v>
      </c>
      <c r="K8" s="521"/>
      <c r="L8" s="2133"/>
      <c r="M8" s="2134"/>
      <c r="N8" s="2134"/>
      <c r="O8" s="2134"/>
      <c r="P8" s="3385" t="s">
        <v>534</v>
      </c>
      <c r="Q8" s="3377"/>
      <c r="R8" s="1565" t="s">
        <v>8</v>
      </c>
      <c r="S8" s="1566">
        <f t="shared" si="0"/>
        <v>100</v>
      </c>
      <c r="T8" s="1565" t="s">
        <v>8</v>
      </c>
      <c r="U8" s="1566">
        <f t="shared" si="1"/>
        <v>100</v>
      </c>
      <c r="V8" s="1565" t="s">
        <v>8</v>
      </c>
      <c r="W8" s="1566">
        <f t="shared" si="2"/>
        <v>100</v>
      </c>
      <c r="X8" s="1567"/>
      <c r="Y8" s="3376" t="s">
        <v>534</v>
      </c>
      <c r="Z8" s="3377"/>
      <c r="AA8" s="1568">
        <f t="shared" ref="AA8:AA47" si="3">D8/F8</f>
        <v>1</v>
      </c>
      <c r="AB8" s="1568">
        <f t="shared" ref="AB8:AB47" si="4">D8/H8</f>
        <v>1</v>
      </c>
      <c r="AC8" s="1568">
        <f t="shared" ref="AC8:AC47" si="5">D8/J8</f>
        <v>1</v>
      </c>
    </row>
    <row r="9" spans="1:29" s="1216" customFormat="1" ht="15">
      <c r="A9" s="2937"/>
      <c r="B9" s="2944" t="s">
        <v>2765</v>
      </c>
      <c r="C9" s="3174" t="s">
        <v>3042</v>
      </c>
      <c r="D9" s="253">
        <v>100</v>
      </c>
      <c r="E9" s="3174" t="s">
        <v>3042</v>
      </c>
      <c r="F9" s="253">
        <f>SUMIF(64:64,E9,65:65)-SUMIF(64:64,C9,65:65)+100</f>
        <v>100</v>
      </c>
      <c r="G9" s="3174" t="s">
        <v>3042</v>
      </c>
      <c r="H9" s="253">
        <f>SUMIF(64:64,G9,65:65)-SUMIF(64:64,C9,65:65)+100</f>
        <v>100</v>
      </c>
      <c r="I9" s="3174" t="s">
        <v>3042</v>
      </c>
      <c r="J9" s="253">
        <f>SUMIF(64:64,I9,65:65)-SUMIF(64:64,C9,65:65)+100</f>
        <v>100</v>
      </c>
      <c r="K9" s="521"/>
      <c r="L9" s="2133"/>
      <c r="M9" s="2134"/>
      <c r="N9" s="2134"/>
      <c r="O9" s="2134"/>
      <c r="P9" s="3384" t="s">
        <v>536</v>
      </c>
      <c r="Q9" s="1147" t="str">
        <f t="shared" ref="Q9:Q15" si="6">B9</f>
        <v>用途</v>
      </c>
      <c r="R9" s="1565" t="s">
        <v>8</v>
      </c>
      <c r="S9" s="1566">
        <f t="shared" si="0"/>
        <v>100</v>
      </c>
      <c r="T9" s="1565" t="s">
        <v>8</v>
      </c>
      <c r="U9" s="1566">
        <f t="shared" si="1"/>
        <v>100</v>
      </c>
      <c r="V9" s="1565" t="s">
        <v>8</v>
      </c>
      <c r="W9" s="1566">
        <f t="shared" si="2"/>
        <v>100</v>
      </c>
      <c r="X9" s="1567"/>
      <c r="Y9" s="3341" t="s">
        <v>537</v>
      </c>
      <c r="Z9" s="1146" t="str">
        <f t="shared" ref="Z9:Z15" si="7">Q9</f>
        <v>用途</v>
      </c>
      <c r="AA9" s="1568">
        <f t="shared" si="3"/>
        <v>1</v>
      </c>
      <c r="AB9" s="1568">
        <f t="shared" si="4"/>
        <v>1</v>
      </c>
      <c r="AC9" s="1568">
        <f t="shared" si="5"/>
        <v>1</v>
      </c>
    </row>
    <row r="10" spans="1:29" s="1334" customFormat="1" ht="27">
      <c r="A10" s="2938"/>
      <c r="B10" s="2943" t="s">
        <v>2766</v>
      </c>
      <c r="C10" s="858" t="s">
        <v>3043</v>
      </c>
      <c r="D10" s="254">
        <v>100</v>
      </c>
      <c r="E10" s="858" t="s">
        <v>3043</v>
      </c>
      <c r="F10" s="254">
        <f>SUMIF(66:66,E10,67:67)-SUMIF(66:66,C10,67:67)+100</f>
        <v>100</v>
      </c>
      <c r="G10" s="858" t="s">
        <v>3043</v>
      </c>
      <c r="H10" s="254">
        <f>SUMIF(66:66,G10,67:67)-SUMIF(66:66,C10,67:67)+100</f>
        <v>100</v>
      </c>
      <c r="I10" s="858" t="s">
        <v>3043</v>
      </c>
      <c r="J10" s="254">
        <f>SUMIF(66:66,I10,67:67)-SUMIF(66:66,C10,67:67)+100</f>
        <v>100</v>
      </c>
      <c r="K10" s="581">
        <f>'不动产比较法-住宅'!K10</f>
        <v>1</v>
      </c>
      <c r="L10" s="2136"/>
      <c r="M10" s="2176"/>
      <c r="N10" s="2176"/>
      <c r="O10" s="2176"/>
      <c r="P10" s="3384"/>
      <c r="Q10" s="1147" t="str">
        <f t="shared" si="6"/>
        <v>土地使用年限（年）</v>
      </c>
      <c r="R10" s="1565" t="s">
        <v>8</v>
      </c>
      <c r="S10" s="1566">
        <f t="shared" si="0"/>
        <v>100</v>
      </c>
      <c r="T10" s="1565" t="s">
        <v>8</v>
      </c>
      <c r="U10" s="1566">
        <f t="shared" si="1"/>
        <v>100</v>
      </c>
      <c r="V10" s="1565" t="s">
        <v>8</v>
      </c>
      <c r="W10" s="1566">
        <f t="shared" si="2"/>
        <v>100</v>
      </c>
      <c r="X10" s="1567"/>
      <c r="Y10" s="3341"/>
      <c r="Z10" s="1146" t="str">
        <f t="shared" si="7"/>
        <v>土地使用年限（年）</v>
      </c>
      <c r="AA10" s="1568">
        <f t="shared" si="3"/>
        <v>1</v>
      </c>
      <c r="AB10" s="1568">
        <f t="shared" si="4"/>
        <v>1</v>
      </c>
      <c r="AC10" s="1568">
        <f t="shared" si="5"/>
        <v>1</v>
      </c>
    </row>
    <row r="11" spans="1:29" ht="15.75" thickBot="1">
      <c r="A11" s="2939"/>
      <c r="B11" s="2943" t="s">
        <v>2767</v>
      </c>
      <c r="C11" s="530">
        <f>'数据-汇总表'!I7</f>
        <v>3.65</v>
      </c>
      <c r="D11" s="254">
        <v>100</v>
      </c>
      <c r="E11" s="530">
        <v>13</v>
      </c>
      <c r="F11" s="254">
        <f>LOOKUP(E11,69:69,70:70)-LOOKUP(C11,69:69,70:70)+100</f>
        <v>115</v>
      </c>
      <c r="G11" s="531">
        <v>6.76</v>
      </c>
      <c r="H11" s="254">
        <f>LOOKUP(G11,69:69,70:70)-LOOKUP(C11,69:69,70:70)+100</f>
        <v>105</v>
      </c>
      <c r="I11" s="530">
        <v>2.2000000000000002</v>
      </c>
      <c r="J11" s="254">
        <f>LOOKUP(I11,69:69,70:70)-LOOKUP(C11,69:69,70:70)+100</f>
        <v>95</v>
      </c>
      <c r="K11" s="3190">
        <v>-5</v>
      </c>
      <c r="L11" s="2138"/>
      <c r="M11" s="2132"/>
      <c r="N11" s="2132"/>
      <c r="O11" s="2132"/>
      <c r="P11" s="3384"/>
      <c r="Q11" s="1147" t="str">
        <f t="shared" si="6"/>
        <v>容积率</v>
      </c>
      <c r="R11" s="1565" t="s">
        <v>8</v>
      </c>
      <c r="S11" s="1566">
        <f t="shared" si="0"/>
        <v>115</v>
      </c>
      <c r="T11" s="1565" t="s">
        <v>8</v>
      </c>
      <c r="U11" s="1566">
        <f t="shared" si="1"/>
        <v>105</v>
      </c>
      <c r="V11" s="1565" t="s">
        <v>8</v>
      </c>
      <c r="W11" s="1566">
        <f t="shared" si="2"/>
        <v>95</v>
      </c>
      <c r="X11" s="1567"/>
      <c r="Y11" s="3341"/>
      <c r="Z11" s="1146" t="str">
        <f t="shared" si="7"/>
        <v>容积率</v>
      </c>
      <c r="AA11" s="1568">
        <f t="shared" si="3"/>
        <v>0.86956521739130432</v>
      </c>
      <c r="AB11" s="1568">
        <f t="shared" si="4"/>
        <v>0.95238095238095233</v>
      </c>
      <c r="AC11" s="1568">
        <f t="shared" si="5"/>
        <v>1.0526315789473684</v>
      </c>
    </row>
    <row r="12" spans="1:29" s="1216" customFormat="1" ht="15" hidden="1">
      <c r="A12" s="2940"/>
      <c r="B12" s="2946">
        <v>111</v>
      </c>
      <c r="C12" s="525"/>
      <c r="D12" s="535">
        <v>100</v>
      </c>
      <c r="E12" s="525"/>
      <c r="F12" s="254">
        <f>SUMIF(71:71,E12,72:72)-SUMIF(71:71,C12,72:72)+100</f>
        <v>100</v>
      </c>
      <c r="G12" s="906"/>
      <c r="H12" s="254">
        <f>SUMIF(71:71,G12,72:72)-SUMIF(71:71,C12,72:72)+100</f>
        <v>100</v>
      </c>
      <c r="I12" s="525"/>
      <c r="J12" s="254">
        <f>SUMIF(71:71,I12,72:72)-SUMIF(71:71,C12,72:72)+100</f>
        <v>100</v>
      </c>
      <c r="K12" s="578"/>
      <c r="L12" s="2133"/>
      <c r="M12" s="2134"/>
      <c r="N12" s="2134"/>
      <c r="O12" s="2134"/>
      <c r="P12" s="3384"/>
      <c r="Q12" s="1147">
        <f t="shared" si="6"/>
        <v>111</v>
      </c>
      <c r="R12" s="1565" t="s">
        <v>8</v>
      </c>
      <c r="S12" s="1566">
        <f t="shared" si="0"/>
        <v>100</v>
      </c>
      <c r="T12" s="1565" t="s">
        <v>8</v>
      </c>
      <c r="U12" s="1566">
        <f t="shared" si="1"/>
        <v>100</v>
      </c>
      <c r="V12" s="1565" t="s">
        <v>8</v>
      </c>
      <c r="W12" s="1566">
        <f t="shared" si="2"/>
        <v>100</v>
      </c>
      <c r="X12" s="1567"/>
      <c r="Y12" s="3341"/>
      <c r="Z12" s="1146">
        <f t="shared" si="7"/>
        <v>111</v>
      </c>
      <c r="AA12" s="1568">
        <f>D12/F12</f>
        <v>1</v>
      </c>
      <c r="AB12" s="1568">
        <f>D12/H12</f>
        <v>1</v>
      </c>
      <c r="AC12" s="1568">
        <f>D12/J12</f>
        <v>1</v>
      </c>
    </row>
    <row r="13" spans="1:29" ht="15" hidden="1">
      <c r="A13" s="2940"/>
      <c r="B13" s="2946">
        <v>111</v>
      </c>
      <c r="C13" s="536"/>
      <c r="D13" s="537">
        <v>100</v>
      </c>
      <c r="E13" s="525"/>
      <c r="F13" s="254">
        <f>SUMIF(73:73,E13,74:74)-SUMIF(73:73,C13,74:74)+100</f>
        <v>100</v>
      </c>
      <c r="G13" s="906"/>
      <c r="H13" s="537">
        <f>SUMIF(73:73,G13,74:74)-SUMIF(73:73,C13,74:74)+100</f>
        <v>100</v>
      </c>
      <c r="I13" s="525"/>
      <c r="J13" s="537">
        <f>SUMIF(73:73,I13,74:74)-SUMIF(73:73,C13,74:74)+100</f>
        <v>100</v>
      </c>
      <c r="K13" s="578"/>
      <c r="L13" s="2140"/>
      <c r="M13" s="2132"/>
      <c r="N13" s="2132"/>
      <c r="O13" s="2132"/>
      <c r="P13" s="3384"/>
      <c r="Q13" s="1147">
        <f t="shared" si="6"/>
        <v>111</v>
      </c>
      <c r="R13" s="1565" t="s">
        <v>8</v>
      </c>
      <c r="S13" s="1566">
        <f t="shared" si="0"/>
        <v>100</v>
      </c>
      <c r="T13" s="1565" t="s">
        <v>8</v>
      </c>
      <c r="U13" s="1566">
        <f t="shared" si="1"/>
        <v>100</v>
      </c>
      <c r="V13" s="1565" t="s">
        <v>8</v>
      </c>
      <c r="W13" s="1566">
        <f t="shared" si="2"/>
        <v>100</v>
      </c>
      <c r="X13" s="1567"/>
      <c r="Y13" s="3341"/>
      <c r="Z13" s="1146">
        <f t="shared" si="7"/>
        <v>111</v>
      </c>
      <c r="AA13" s="1568">
        <f t="shared" si="3"/>
        <v>1</v>
      </c>
      <c r="AB13" s="1568">
        <f t="shared" si="4"/>
        <v>1</v>
      </c>
      <c r="AC13" s="1568">
        <f t="shared" si="5"/>
        <v>1</v>
      </c>
    </row>
    <row r="14" spans="1:29" ht="15.75" hidden="1" thickBot="1">
      <c r="A14" s="2941"/>
      <c r="B14" s="2947">
        <v>111</v>
      </c>
      <c r="C14" s="542"/>
      <c r="D14" s="543">
        <v>100</v>
      </c>
      <c r="E14" s="907"/>
      <c r="F14" s="543">
        <f>SUMIF(75:75,E14,76:76)-SUMIF(75:75,C14,76:76)+100</f>
        <v>100</v>
      </c>
      <c r="G14" s="906"/>
      <c r="H14" s="543">
        <f>SUMIF(75:75,G14,76:76)-SUMIF(75:75,C14,76:76)+100</f>
        <v>100</v>
      </c>
      <c r="I14" s="525"/>
      <c r="J14" s="543">
        <f>SUMIF(75:75,I14,76:76)-SUMIF(75:75,C14,76:76)+100</f>
        <v>100</v>
      </c>
      <c r="K14" s="578"/>
      <c r="L14" s="2140"/>
      <c r="M14" s="2132"/>
      <c r="N14" s="2132"/>
      <c r="O14" s="2132"/>
      <c r="P14" s="3384"/>
      <c r="Q14" s="1147">
        <f t="shared" si="6"/>
        <v>111</v>
      </c>
      <c r="R14" s="1565" t="s">
        <v>8</v>
      </c>
      <c r="S14" s="1566">
        <f t="shared" si="0"/>
        <v>100</v>
      </c>
      <c r="T14" s="1565" t="s">
        <v>8</v>
      </c>
      <c r="U14" s="1566">
        <f t="shared" si="1"/>
        <v>100</v>
      </c>
      <c r="V14" s="1565" t="s">
        <v>8</v>
      </c>
      <c r="W14" s="1566">
        <f t="shared" si="2"/>
        <v>100</v>
      </c>
      <c r="X14" s="1567"/>
      <c r="Y14" s="3341"/>
      <c r="Z14" s="1146">
        <f t="shared" si="7"/>
        <v>111</v>
      </c>
      <c r="AA14" s="1568">
        <f t="shared" si="3"/>
        <v>1</v>
      </c>
      <c r="AB14" s="1568">
        <f t="shared" si="4"/>
        <v>1</v>
      </c>
      <c r="AC14" s="1568">
        <f t="shared" si="5"/>
        <v>1</v>
      </c>
    </row>
    <row r="15" spans="1:29" ht="71.25">
      <c r="A15" s="2933" t="s">
        <v>2763</v>
      </c>
      <c r="B15" s="544" t="s">
        <v>543</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97</v>
      </c>
      <c r="K15" s="894">
        <v>3</v>
      </c>
      <c r="L15" s="2140"/>
      <c r="M15" s="2132"/>
      <c r="N15" s="2132"/>
      <c r="O15" s="2132"/>
      <c r="P15" s="3386" t="s">
        <v>541</v>
      </c>
      <c r="Q15" s="1569" t="str">
        <f t="shared" si="6"/>
        <v>办公集聚程度</v>
      </c>
      <c r="R15" s="1570" t="s">
        <v>8</v>
      </c>
      <c r="S15" s="1571">
        <f t="shared" si="0"/>
        <v>100</v>
      </c>
      <c r="T15" s="1570" t="s">
        <v>8</v>
      </c>
      <c r="U15" s="1571">
        <f t="shared" si="1"/>
        <v>100</v>
      </c>
      <c r="V15" s="1570" t="s">
        <v>8</v>
      </c>
      <c r="W15" s="1571">
        <f t="shared" si="2"/>
        <v>97</v>
      </c>
      <c r="X15" s="1564"/>
      <c r="Y15" s="3386" t="s">
        <v>541</v>
      </c>
      <c r="Z15" s="1572" t="str">
        <f t="shared" si="7"/>
        <v>办公集聚程度</v>
      </c>
      <c r="AA15" s="1573">
        <f t="shared" si="3"/>
        <v>1</v>
      </c>
      <c r="AB15" s="1573">
        <f t="shared" si="4"/>
        <v>1</v>
      </c>
      <c r="AC15" s="1573">
        <f t="shared" si="5"/>
        <v>1.0309278350515463</v>
      </c>
    </row>
    <row r="16" spans="1:29" ht="15">
      <c r="A16" s="529"/>
      <c r="B16" s="550"/>
      <c r="C16" s="3169" t="s">
        <v>3044</v>
      </c>
      <c r="D16" s="552"/>
      <c r="E16" s="3169" t="s">
        <v>3044</v>
      </c>
      <c r="F16" s="552"/>
      <c r="G16" s="3169" t="s">
        <v>3044</v>
      </c>
      <c r="H16" s="556"/>
      <c r="I16" s="3177" t="s">
        <v>3045</v>
      </c>
      <c r="J16" s="552"/>
      <c r="K16" s="895"/>
      <c r="L16" s="2140"/>
      <c r="M16" s="2132"/>
      <c r="N16" s="2132"/>
      <c r="O16" s="2132"/>
      <c r="P16" s="3387"/>
      <c r="Q16" s="1569"/>
      <c r="R16" s="1570"/>
      <c r="S16" s="1571"/>
      <c r="T16" s="1570"/>
      <c r="U16" s="1571"/>
      <c r="V16" s="1570"/>
      <c r="W16" s="1571"/>
      <c r="X16" s="1564"/>
      <c r="Y16" s="3387"/>
      <c r="Z16" s="1572"/>
      <c r="AA16" s="1573">
        <v>1</v>
      </c>
      <c r="AB16" s="1573">
        <v>1</v>
      </c>
      <c r="AC16" s="1573">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f>'比较法-住宅、综合'!K23</f>
        <v>2</v>
      </c>
      <c r="L17" s="2140"/>
      <c r="M17" s="2132"/>
      <c r="N17" s="2132"/>
      <c r="O17" s="2132"/>
      <c r="P17" s="3387"/>
      <c r="Q17" s="1569" t="str">
        <f>B17</f>
        <v>交通便捷度</v>
      </c>
      <c r="R17" s="1570" t="s">
        <v>8</v>
      </c>
      <c r="S17" s="1571">
        <f>F17</f>
        <v>100</v>
      </c>
      <c r="T17" s="1570" t="s">
        <v>8</v>
      </c>
      <c r="U17" s="1571">
        <f>H17</f>
        <v>100</v>
      </c>
      <c r="V17" s="1570" t="s">
        <v>8</v>
      </c>
      <c r="W17" s="1571">
        <f>J17</f>
        <v>100</v>
      </c>
      <c r="X17" s="1564"/>
      <c r="Y17" s="3387"/>
      <c r="Z17" s="1572" t="str">
        <f>Q17</f>
        <v>交通便捷度</v>
      </c>
      <c r="AA17" s="1573">
        <f t="shared" si="3"/>
        <v>1</v>
      </c>
      <c r="AB17" s="1573">
        <f t="shared" si="4"/>
        <v>1</v>
      </c>
      <c r="AC17" s="1573">
        <f t="shared" si="5"/>
        <v>1</v>
      </c>
    </row>
    <row r="18" spans="1:29" ht="15">
      <c r="A18" s="529"/>
      <c r="B18" s="563"/>
      <c r="C18" s="564" t="str">
        <f>'比较法-住宅、综合'!C24</f>
        <v>较好</v>
      </c>
      <c r="D18" s="556"/>
      <c r="E18" s="564" t="str">
        <f>'比较法-住宅、综合'!E24</f>
        <v>较好</v>
      </c>
      <c r="F18" s="556"/>
      <c r="G18" s="564" t="str">
        <f>'比较法-住宅、综合'!G24</f>
        <v>较好</v>
      </c>
      <c r="H18" s="552"/>
      <c r="I18" s="564" t="str">
        <f>'比较法-住宅、综合'!I24</f>
        <v>较好</v>
      </c>
      <c r="J18" s="552"/>
      <c r="K18" s="895"/>
      <c r="L18" s="2140"/>
      <c r="M18" s="2132"/>
      <c r="N18" s="2132"/>
      <c r="O18" s="2132"/>
      <c r="P18" s="3387"/>
      <c r="Q18" s="1569"/>
      <c r="R18" s="1570"/>
      <c r="S18" s="1571"/>
      <c r="T18" s="1570"/>
      <c r="U18" s="1571"/>
      <c r="V18" s="1570"/>
      <c r="W18" s="1571"/>
      <c r="X18" s="1564"/>
      <c r="Y18" s="3387"/>
      <c r="Z18" s="1572"/>
      <c r="AA18" s="1573">
        <v>1</v>
      </c>
      <c r="AB18" s="1573">
        <v>1</v>
      </c>
      <c r="AC18" s="1573">
        <v>1</v>
      </c>
    </row>
    <row r="19" spans="1:29" ht="42.75">
      <c r="A19" s="529"/>
      <c r="B19" s="2625" t="s">
        <v>2553</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f>'不动产比较法-住宅'!K19</f>
        <v>1</v>
      </c>
      <c r="L19" s="2140"/>
      <c r="M19" s="2132"/>
      <c r="N19" s="2132"/>
      <c r="O19" s="2132"/>
      <c r="P19" s="3387"/>
      <c r="Q19" s="1569" t="str">
        <f>B19</f>
        <v>公共配套设施</v>
      </c>
      <c r="R19" s="1570" t="s">
        <v>8</v>
      </c>
      <c r="S19" s="1571">
        <f>F19</f>
        <v>100</v>
      </c>
      <c r="T19" s="1570" t="s">
        <v>8</v>
      </c>
      <c r="U19" s="1571">
        <f>H19</f>
        <v>100</v>
      </c>
      <c r="V19" s="1570" t="s">
        <v>8</v>
      </c>
      <c r="W19" s="1571">
        <f>J19</f>
        <v>100</v>
      </c>
      <c r="X19" s="1564"/>
      <c r="Y19" s="3387"/>
      <c r="Z19" s="1572" t="str">
        <f>Q19</f>
        <v>公共配套设施</v>
      </c>
      <c r="AA19" s="1573">
        <f t="shared" si="3"/>
        <v>1</v>
      </c>
      <c r="AB19" s="1573">
        <f t="shared" si="4"/>
        <v>1</v>
      </c>
      <c r="AC19" s="1573">
        <f t="shared" si="5"/>
        <v>1</v>
      </c>
    </row>
    <row r="20" spans="1:29" ht="15">
      <c r="A20" s="529"/>
      <c r="B20" s="563"/>
      <c r="C20" s="551" t="str">
        <f>'比较法-住宅、综合'!C30</f>
        <v>较好</v>
      </c>
      <c r="D20" s="552"/>
      <c r="E20" s="551" t="str">
        <f>'比较法-住宅、综合'!E30</f>
        <v>较好</v>
      </c>
      <c r="F20" s="552"/>
      <c r="G20" s="551" t="str">
        <f>'比较法-住宅、综合'!G30</f>
        <v>较好</v>
      </c>
      <c r="H20" s="552"/>
      <c r="I20" s="551" t="str">
        <f>'比较法-住宅、综合'!I30</f>
        <v>较好</v>
      </c>
      <c r="J20" s="552"/>
      <c r="K20" s="895"/>
      <c r="L20" s="2140"/>
      <c r="M20" s="2132"/>
      <c r="N20" s="2132"/>
      <c r="O20" s="2132"/>
      <c r="P20" s="3387"/>
      <c r="Q20" s="1569"/>
      <c r="R20" s="1570"/>
      <c r="S20" s="1571"/>
      <c r="T20" s="1570"/>
      <c r="U20" s="1571"/>
      <c r="V20" s="1570"/>
      <c r="W20" s="1571"/>
      <c r="X20" s="1564"/>
      <c r="Y20" s="3387"/>
      <c r="Z20" s="1572"/>
      <c r="AA20" s="1573">
        <v>1</v>
      </c>
      <c r="AB20" s="1573">
        <v>1</v>
      </c>
      <c r="AC20" s="1573">
        <v>1</v>
      </c>
    </row>
    <row r="21" spans="1:29" ht="28.5">
      <c r="A21" s="529"/>
      <c r="B21" s="2613" t="s">
        <v>2565</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f>'不动产比较法-住宅'!K21</f>
        <v>1</v>
      </c>
      <c r="L21" s="2140"/>
      <c r="M21" s="2132"/>
      <c r="N21" s="2132"/>
      <c r="O21" s="2132"/>
      <c r="P21" s="3387"/>
      <c r="Q21" s="2601" t="str">
        <f>B21</f>
        <v>基础设施水平</v>
      </c>
      <c r="R21" s="1570" t="s">
        <v>8</v>
      </c>
      <c r="S21" s="1571">
        <f>F21</f>
        <v>100</v>
      </c>
      <c r="T21" s="1570" t="s">
        <v>8</v>
      </c>
      <c r="U21" s="1571">
        <f>H21</f>
        <v>100</v>
      </c>
      <c r="V21" s="1570" t="s">
        <v>8</v>
      </c>
      <c r="W21" s="1571">
        <f>J21</f>
        <v>100</v>
      </c>
      <c r="X21" s="2603"/>
      <c r="Y21" s="3387"/>
      <c r="Z21" s="2602" t="str">
        <f>Q21</f>
        <v>基础设施水平</v>
      </c>
      <c r="AA21" s="1573">
        <f t="shared" ref="AA21" si="8">D21/F21</f>
        <v>1</v>
      </c>
      <c r="AB21" s="1573">
        <f t="shared" ref="AB21" si="9">D21/H21</f>
        <v>1</v>
      </c>
      <c r="AC21" s="1573">
        <f t="shared" ref="AC21" si="10">D21/J21</f>
        <v>1</v>
      </c>
    </row>
    <row r="22" spans="1:29" ht="15">
      <c r="A22" s="529"/>
      <c r="B22" s="575"/>
      <c r="C22" s="3180" t="s">
        <v>3046</v>
      </c>
      <c r="D22" s="552"/>
      <c r="E22" s="3180" t="s">
        <v>3046</v>
      </c>
      <c r="F22" s="552"/>
      <c r="G22" s="3180" t="s">
        <v>3046</v>
      </c>
      <c r="H22" s="552"/>
      <c r="I22" s="3180" t="s">
        <v>3046</v>
      </c>
      <c r="J22" s="552"/>
      <c r="K22" s="2624"/>
      <c r="L22" s="2140"/>
      <c r="M22" s="2132"/>
      <c r="N22" s="2132"/>
      <c r="O22" s="2132"/>
      <c r="P22" s="3387"/>
      <c r="Q22" s="2601"/>
      <c r="R22" s="1570"/>
      <c r="S22" s="1571"/>
      <c r="T22" s="1570"/>
      <c r="U22" s="1571"/>
      <c r="V22" s="1570"/>
      <c r="W22" s="1571"/>
      <c r="X22" s="2603"/>
      <c r="Y22" s="3387"/>
      <c r="Z22" s="2602"/>
      <c r="AA22" s="1573">
        <v>1</v>
      </c>
      <c r="AB22" s="1573">
        <v>1</v>
      </c>
      <c r="AC22" s="1573">
        <v>1</v>
      </c>
    </row>
    <row r="23" spans="1:29" ht="57">
      <c r="A23" s="529"/>
      <c r="B23" s="557" t="s">
        <v>779</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98</v>
      </c>
      <c r="K23" s="894">
        <f>'不动产比较法-住宅'!K23</f>
        <v>2</v>
      </c>
      <c r="L23" s="2140"/>
      <c r="M23" s="2132"/>
      <c r="N23" s="2132"/>
      <c r="O23" s="2132"/>
      <c r="P23" s="3387"/>
      <c r="Q23" s="1569" t="str">
        <f>B23</f>
        <v>环境质量</v>
      </c>
      <c r="R23" s="1570" t="s">
        <v>8</v>
      </c>
      <c r="S23" s="1571">
        <f>F23</f>
        <v>100</v>
      </c>
      <c r="T23" s="1570" t="s">
        <v>8</v>
      </c>
      <c r="U23" s="1571">
        <f>H23</f>
        <v>100</v>
      </c>
      <c r="V23" s="1570" t="s">
        <v>8</v>
      </c>
      <c r="W23" s="1571">
        <f>J23</f>
        <v>98</v>
      </c>
      <c r="X23" s="1564"/>
      <c r="Y23" s="3387"/>
      <c r="Z23" s="1572" t="str">
        <f>Q23</f>
        <v>环境质量</v>
      </c>
      <c r="AA23" s="1573">
        <f t="shared" si="3"/>
        <v>1</v>
      </c>
      <c r="AB23" s="1573">
        <f t="shared" si="4"/>
        <v>1</v>
      </c>
      <c r="AC23" s="1573">
        <f t="shared" si="5"/>
        <v>1.0204081632653061</v>
      </c>
    </row>
    <row r="24" spans="1:29" ht="15">
      <c r="A24" s="529"/>
      <c r="B24" s="575"/>
      <c r="C24" s="3169" t="s">
        <v>3044</v>
      </c>
      <c r="D24" s="552"/>
      <c r="E24" s="3169" t="s">
        <v>3044</v>
      </c>
      <c r="F24" s="552"/>
      <c r="G24" s="3169" t="s">
        <v>3044</v>
      </c>
      <c r="H24" s="552"/>
      <c r="I24" s="3181" t="s">
        <v>3045</v>
      </c>
      <c r="J24" s="552"/>
      <c r="K24" s="895"/>
      <c r="L24" s="2140"/>
      <c r="M24" s="2132"/>
      <c r="N24" s="2132"/>
      <c r="O24" s="2132"/>
      <c r="P24" s="3387"/>
      <c r="Q24" s="1569"/>
      <c r="R24" s="1570"/>
      <c r="S24" s="1571"/>
      <c r="T24" s="1570"/>
      <c r="U24" s="1571"/>
      <c r="V24" s="1570"/>
      <c r="W24" s="1571"/>
      <c r="X24" s="1564"/>
      <c r="Y24" s="3387"/>
      <c r="Z24" s="1572"/>
      <c r="AA24" s="1573">
        <v>1</v>
      </c>
      <c r="AB24" s="1573">
        <v>1</v>
      </c>
      <c r="AC24" s="1573">
        <v>1</v>
      </c>
    </row>
    <row r="25" spans="1:29" ht="27">
      <c r="A25" s="512"/>
      <c r="B25" s="557" t="s">
        <v>549</v>
      </c>
      <c r="C25" s="908"/>
      <c r="D25" s="537">
        <v>100</v>
      </c>
      <c r="E25" s="536"/>
      <c r="F25" s="537">
        <f>SUMIF(87:87,E26,88:88)-SUMIF(87:87,C26,88:88)+100</f>
        <v>100</v>
      </c>
      <c r="G25" s="908"/>
      <c r="H25" s="537">
        <f>SUMIF(87:87,G26,88:88)-SUMIF(87:87,C26,88:88)+100</f>
        <v>100</v>
      </c>
      <c r="I25" s="536"/>
      <c r="J25" s="537">
        <f>SUMIF(87:87,I26,88:88)-SUMIF(87:87,C26,88:88)+100</f>
        <v>100</v>
      </c>
      <c r="K25" s="894">
        <v>1</v>
      </c>
      <c r="L25" s="2140"/>
      <c r="M25" s="2132"/>
      <c r="N25" s="2132"/>
      <c r="O25" s="2132"/>
      <c r="P25" s="3387"/>
      <c r="Q25" s="1569" t="str">
        <f>B25</f>
        <v>毗邻道路的类型与等级</v>
      </c>
      <c r="R25" s="1570" t="s">
        <v>8</v>
      </c>
      <c r="S25" s="1571">
        <f>F25</f>
        <v>100</v>
      </c>
      <c r="T25" s="1570" t="s">
        <v>8</v>
      </c>
      <c r="U25" s="1571">
        <f>H25</f>
        <v>100</v>
      </c>
      <c r="V25" s="1570" t="s">
        <v>8</v>
      </c>
      <c r="W25" s="1571">
        <f>J25</f>
        <v>100</v>
      </c>
      <c r="X25" s="1564"/>
      <c r="Y25" s="3387"/>
      <c r="Z25" s="1572" t="str">
        <f>Q25</f>
        <v>毗邻道路的类型与等级</v>
      </c>
      <c r="AA25" s="1573">
        <f t="shared" si="3"/>
        <v>1</v>
      </c>
      <c r="AB25" s="1573">
        <f t="shared" si="4"/>
        <v>1</v>
      </c>
      <c r="AC25" s="1573">
        <f t="shared" si="5"/>
        <v>1</v>
      </c>
    </row>
    <row r="26" spans="1:29" ht="15.75" thickBot="1">
      <c r="A26" s="512"/>
      <c r="B26" s="563"/>
      <c r="C26" s="3170" t="s">
        <v>3047</v>
      </c>
      <c r="D26" s="537"/>
      <c r="E26" s="3170" t="s">
        <v>3047</v>
      </c>
      <c r="F26" s="537"/>
      <c r="G26" s="3170" t="s">
        <v>3047</v>
      </c>
      <c r="H26" s="537"/>
      <c r="I26" s="3182" t="s">
        <v>3048</v>
      </c>
      <c r="J26" s="537"/>
      <c r="K26" s="895"/>
      <c r="L26" s="2140"/>
      <c r="M26" s="2132"/>
      <c r="N26" s="2132"/>
      <c r="O26" s="2132"/>
      <c r="P26" s="3387"/>
      <c r="Q26" s="1569"/>
      <c r="R26" s="1570"/>
      <c r="S26" s="1571"/>
      <c r="T26" s="1570"/>
      <c r="U26" s="1571"/>
      <c r="V26" s="1570"/>
      <c r="W26" s="1571"/>
      <c r="X26" s="1564"/>
      <c r="Y26" s="3387"/>
      <c r="Z26" s="1572"/>
      <c r="AA26" s="1573">
        <v>1</v>
      </c>
      <c r="AB26" s="1573">
        <v>1</v>
      </c>
      <c r="AC26" s="1573">
        <v>1</v>
      </c>
    </row>
    <row r="27" spans="1:29" ht="15" hidden="1">
      <c r="A27" s="529"/>
      <c r="B27" s="563" t="s">
        <v>762</v>
      </c>
      <c r="C27" s="577"/>
      <c r="D27" s="537">
        <v>100</v>
      </c>
      <c r="E27" s="580"/>
      <c r="F27" s="537">
        <f>SUMIF(89:89,E27,90:90)-SUMIF(89:89,C27,90:90)+100</f>
        <v>100</v>
      </c>
      <c r="G27" s="577"/>
      <c r="H27" s="537">
        <f>SUMIF(89:89,G27,90:90)-SUMIF(89:89,C27,90:90)+100</f>
        <v>100</v>
      </c>
      <c r="I27" s="580"/>
      <c r="J27" s="537">
        <f>SUMIF(89:89,I27,90:90)-SUMIF(89:89,C27,90:90)+100</f>
        <v>100</v>
      </c>
      <c r="K27" s="581"/>
      <c r="L27" s="2140"/>
      <c r="M27" s="2132"/>
      <c r="N27" s="2132"/>
      <c r="O27" s="2132"/>
      <c r="P27" s="3387"/>
      <c r="Q27" s="1569" t="str">
        <f t="shared" ref="Q27:Q47" si="11">B27</f>
        <v>楼层</v>
      </c>
      <c r="R27" s="1570" t="s">
        <v>8</v>
      </c>
      <c r="S27" s="1571">
        <f>F27</f>
        <v>100</v>
      </c>
      <c r="T27" s="1570" t="s">
        <v>8</v>
      </c>
      <c r="U27" s="1571">
        <f>H27</f>
        <v>100</v>
      </c>
      <c r="V27" s="1570" t="s">
        <v>8</v>
      </c>
      <c r="W27" s="1571">
        <f>J27</f>
        <v>100</v>
      </c>
      <c r="X27" s="1564"/>
      <c r="Y27" s="3387"/>
      <c r="Z27" s="1572" t="str">
        <f>Q27</f>
        <v>楼层</v>
      </c>
      <c r="AA27" s="1573">
        <f t="shared" si="3"/>
        <v>1</v>
      </c>
      <c r="AB27" s="1573">
        <f t="shared" si="4"/>
        <v>1</v>
      </c>
      <c r="AC27" s="1573">
        <f t="shared" si="5"/>
        <v>1</v>
      </c>
    </row>
    <row r="28" spans="1:29" s="1216" customFormat="1" ht="15" hidden="1">
      <c r="A28" s="533"/>
      <c r="B28" s="557" t="s">
        <v>780</v>
      </c>
      <c r="C28" s="909"/>
      <c r="D28" s="872">
        <v>100</v>
      </c>
      <c r="E28" s="897"/>
      <c r="F28" s="872">
        <f>SUMIF(91:91,E28,92:92)-SUMIF(91:91,C28,92:92)+100</f>
        <v>100</v>
      </c>
      <c r="G28" s="909"/>
      <c r="H28" s="872">
        <f>SUMIF(91:91,G28,92:92)-SUMIF(91:91,C28,92:92)+100</f>
        <v>100</v>
      </c>
      <c r="I28" s="897"/>
      <c r="J28" s="872">
        <f>SUMIF(91:91,I28,92:92)-SUMIF(91:91,C28,92:92)+100</f>
        <v>100</v>
      </c>
      <c r="K28" s="581"/>
      <c r="L28" s="2133"/>
      <c r="M28" s="2134"/>
      <c r="N28" s="2134"/>
      <c r="O28" s="2134"/>
      <c r="P28" s="3387"/>
      <c r="Q28" s="1147" t="str">
        <f t="shared" si="11"/>
        <v>朝向</v>
      </c>
      <c r="R28" s="1565" t="s">
        <v>8</v>
      </c>
      <c r="S28" s="1566">
        <f>F28</f>
        <v>100</v>
      </c>
      <c r="T28" s="1565" t="s">
        <v>8</v>
      </c>
      <c r="U28" s="1566">
        <f>H28</f>
        <v>100</v>
      </c>
      <c r="V28" s="1565" t="s">
        <v>8</v>
      </c>
      <c r="W28" s="1566">
        <f>J28</f>
        <v>100</v>
      </c>
      <c r="X28" s="1567"/>
      <c r="Y28" s="3387"/>
      <c r="Z28" s="1146" t="str">
        <f>Q28</f>
        <v>朝向</v>
      </c>
      <c r="AA28" s="1573">
        <f>D28/F28</f>
        <v>1</v>
      </c>
      <c r="AB28" s="1573">
        <f>D28/H28</f>
        <v>1</v>
      </c>
      <c r="AC28" s="1573">
        <f>D28/J28</f>
        <v>1</v>
      </c>
    </row>
    <row r="29" spans="1:29" ht="15" hidden="1">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40"/>
      <c r="M29" s="2132"/>
      <c r="N29" s="2132"/>
      <c r="O29" s="2132"/>
      <c r="P29" s="3387"/>
      <c r="Q29" s="1569">
        <f t="shared" si="11"/>
        <v>111</v>
      </c>
      <c r="R29" s="1570" t="s">
        <v>8</v>
      </c>
      <c r="S29" s="1571">
        <f t="shared" ref="S29:S47" si="12">F29</f>
        <v>100</v>
      </c>
      <c r="T29" s="1570" t="s">
        <v>8</v>
      </c>
      <c r="U29" s="1571">
        <f t="shared" ref="U29:U47" si="13">H29</f>
        <v>100</v>
      </c>
      <c r="V29" s="1570" t="s">
        <v>8</v>
      </c>
      <c r="W29" s="1571">
        <f t="shared" ref="W29:W47" si="14">J29</f>
        <v>100</v>
      </c>
      <c r="X29" s="1564"/>
      <c r="Y29" s="3387"/>
      <c r="Z29" s="1572">
        <f t="shared" ref="Z29:Z47" si="15">Q29</f>
        <v>111</v>
      </c>
      <c r="AA29" s="1573">
        <f t="shared" si="3"/>
        <v>1</v>
      </c>
      <c r="AB29" s="1573">
        <f t="shared" si="4"/>
        <v>1</v>
      </c>
      <c r="AC29" s="1573">
        <f t="shared" si="5"/>
        <v>1</v>
      </c>
    </row>
    <row r="30" spans="1:29" ht="15" hidden="1">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40"/>
      <c r="M30" s="2132"/>
      <c r="N30" s="2132"/>
      <c r="O30" s="2132"/>
      <c r="P30" s="3387"/>
      <c r="Q30" s="1569">
        <f t="shared" si="11"/>
        <v>111</v>
      </c>
      <c r="R30" s="1570" t="s">
        <v>8</v>
      </c>
      <c r="S30" s="1571">
        <f t="shared" si="12"/>
        <v>100</v>
      </c>
      <c r="T30" s="1570" t="s">
        <v>8</v>
      </c>
      <c r="U30" s="1571">
        <f t="shared" si="13"/>
        <v>100</v>
      </c>
      <c r="V30" s="1570" t="s">
        <v>8</v>
      </c>
      <c r="W30" s="1571">
        <f t="shared" si="14"/>
        <v>100</v>
      </c>
      <c r="X30" s="1564"/>
      <c r="Y30" s="3387"/>
      <c r="Z30" s="1572">
        <f t="shared" si="15"/>
        <v>111</v>
      </c>
      <c r="AA30" s="1573">
        <f t="shared" si="3"/>
        <v>1</v>
      </c>
      <c r="AB30" s="1573">
        <f t="shared" si="4"/>
        <v>1</v>
      </c>
      <c r="AC30" s="1573">
        <f t="shared" si="5"/>
        <v>1</v>
      </c>
    </row>
    <row r="31" spans="1:29" ht="15" hidden="1">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40"/>
      <c r="M31" s="2132"/>
      <c r="N31" s="2132"/>
      <c r="O31" s="2132"/>
      <c r="P31" s="3387"/>
      <c r="Q31" s="1569">
        <f t="shared" si="11"/>
        <v>111</v>
      </c>
      <c r="R31" s="1570" t="s">
        <v>8</v>
      </c>
      <c r="S31" s="1571">
        <f t="shared" si="12"/>
        <v>100</v>
      </c>
      <c r="T31" s="1570" t="s">
        <v>8</v>
      </c>
      <c r="U31" s="1571">
        <f t="shared" si="13"/>
        <v>100</v>
      </c>
      <c r="V31" s="1570" t="s">
        <v>8</v>
      </c>
      <c r="W31" s="1571">
        <f t="shared" si="14"/>
        <v>100</v>
      </c>
      <c r="X31" s="1564"/>
      <c r="Y31" s="3387"/>
      <c r="Z31" s="1572">
        <f t="shared" si="15"/>
        <v>111</v>
      </c>
      <c r="AA31" s="1573">
        <f t="shared" si="3"/>
        <v>1</v>
      </c>
      <c r="AB31" s="1573">
        <f t="shared" si="4"/>
        <v>1</v>
      </c>
      <c r="AC31" s="1573">
        <f t="shared" si="5"/>
        <v>1</v>
      </c>
    </row>
    <row r="32" spans="1:29" ht="15.75" hidden="1"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40"/>
      <c r="M32" s="2132"/>
      <c r="N32" s="2132"/>
      <c r="O32" s="2132"/>
      <c r="P32" s="3387"/>
      <c r="Q32" s="1569">
        <f t="shared" si="11"/>
        <v>111</v>
      </c>
      <c r="R32" s="1570" t="s">
        <v>8</v>
      </c>
      <c r="S32" s="1571">
        <f t="shared" si="12"/>
        <v>100</v>
      </c>
      <c r="T32" s="1570" t="s">
        <v>8</v>
      </c>
      <c r="U32" s="1571">
        <f t="shared" si="13"/>
        <v>100</v>
      </c>
      <c r="V32" s="1570" t="s">
        <v>8</v>
      </c>
      <c r="W32" s="1571">
        <f t="shared" si="14"/>
        <v>100</v>
      </c>
      <c r="X32" s="1564"/>
      <c r="Y32" s="3387"/>
      <c r="Z32" s="1572">
        <f t="shared" si="15"/>
        <v>111</v>
      </c>
      <c r="AA32" s="1573">
        <f t="shared" si="3"/>
        <v>1</v>
      </c>
      <c r="AB32" s="1573">
        <f t="shared" si="4"/>
        <v>1</v>
      </c>
      <c r="AC32" s="1573">
        <f t="shared" si="5"/>
        <v>1</v>
      </c>
    </row>
    <row r="33" spans="1:29" ht="15">
      <c r="A33" s="2931" t="s">
        <v>2764</v>
      </c>
      <c r="B33" s="172" t="s">
        <v>781</v>
      </c>
      <c r="C33" s="3183" t="s">
        <v>3049</v>
      </c>
      <c r="D33" s="594">
        <v>100</v>
      </c>
      <c r="E33" s="3183" t="s">
        <v>3049</v>
      </c>
      <c r="F33" s="572">
        <f>SUMIF(101:101,E33,102:102)-SUMIF(101:101,C33,102:102)+100</f>
        <v>100</v>
      </c>
      <c r="G33" s="3183" t="s">
        <v>3049</v>
      </c>
      <c r="H33" s="537">
        <f>SUMIF(101:101,G33,102:102)-SUMIF(101:101,C33,102:102)+100</f>
        <v>100</v>
      </c>
      <c r="I33" s="3183" t="s">
        <v>3049</v>
      </c>
      <c r="J33" s="594">
        <f>SUMIF(101:101,I33,102:102)-SUMIF(101:101,C33,102:102)+100</f>
        <v>100</v>
      </c>
      <c r="K33" s="581">
        <v>2</v>
      </c>
      <c r="L33" s="2140"/>
      <c r="M33" s="2132"/>
      <c r="N33" s="2132"/>
      <c r="O33" s="2132"/>
      <c r="P33" s="3388" t="s">
        <v>551</v>
      </c>
      <c r="Q33" s="1569" t="str">
        <f t="shared" si="11"/>
        <v>建筑类型</v>
      </c>
      <c r="R33" s="1570" t="s">
        <v>8</v>
      </c>
      <c r="S33" s="1571">
        <f t="shared" si="12"/>
        <v>100</v>
      </c>
      <c r="T33" s="1570" t="s">
        <v>8</v>
      </c>
      <c r="U33" s="1571">
        <f t="shared" si="13"/>
        <v>100</v>
      </c>
      <c r="V33" s="1570" t="s">
        <v>8</v>
      </c>
      <c r="W33" s="1571">
        <f t="shared" si="14"/>
        <v>100</v>
      </c>
      <c r="X33" s="1564"/>
      <c r="Y33" s="3389" t="s">
        <v>551</v>
      </c>
      <c r="Z33" s="1572" t="str">
        <f t="shared" si="15"/>
        <v>建筑类型</v>
      </c>
      <c r="AA33" s="1573">
        <f t="shared" si="3"/>
        <v>1</v>
      </c>
      <c r="AB33" s="1573">
        <f t="shared" si="4"/>
        <v>1</v>
      </c>
      <c r="AC33" s="1573">
        <f t="shared" si="5"/>
        <v>1</v>
      </c>
    </row>
    <row r="34" spans="1:29" s="1335" customFormat="1" ht="15">
      <c r="A34" s="600"/>
      <c r="B34" s="524" t="s">
        <v>727</v>
      </c>
      <c r="C34" s="876">
        <f>'数据-汇总表'!E3</f>
        <v>136430.07</v>
      </c>
      <c r="D34" s="254">
        <v>100</v>
      </c>
      <c r="E34" s="531">
        <v>106104</v>
      </c>
      <c r="F34" s="860">
        <f>LOOKUP(E34,104:104,105:105)-LOOKUP(C34,104:104,105:105)+100</f>
        <v>100</v>
      </c>
      <c r="G34" s="530">
        <v>113713</v>
      </c>
      <c r="H34" s="254">
        <f>LOOKUP(G34,104:104,105:105)-LOOKUP(C34,104:104,105:105)+100</f>
        <v>100</v>
      </c>
      <c r="I34" s="530">
        <v>46674</v>
      </c>
      <c r="J34" s="254">
        <f>LOOKUP(I34,104:104,105:105)-LOOKUP(C34,104:104,105:105)+100</f>
        <v>96</v>
      </c>
      <c r="K34" s="578"/>
      <c r="L34" s="2138"/>
      <c r="M34" s="2169"/>
      <c r="N34" s="2169"/>
      <c r="O34" s="2169"/>
      <c r="P34" s="3389"/>
      <c r="Q34" s="1602" t="str">
        <f t="shared" si="11"/>
        <v>项目建筑规模</v>
      </c>
      <c r="R34" s="1574" t="s">
        <v>8</v>
      </c>
      <c r="S34" s="1575">
        <f t="shared" si="12"/>
        <v>100</v>
      </c>
      <c r="T34" s="1574" t="s">
        <v>8</v>
      </c>
      <c r="U34" s="1575">
        <f t="shared" si="13"/>
        <v>100</v>
      </c>
      <c r="V34" s="1574" t="s">
        <v>8</v>
      </c>
      <c r="W34" s="1575">
        <f t="shared" si="14"/>
        <v>96</v>
      </c>
      <c r="X34" s="1576"/>
      <c r="Y34" s="3389"/>
      <c r="Z34" s="1577" t="str">
        <f t="shared" si="15"/>
        <v>项目建筑规模</v>
      </c>
      <c r="AA34" s="1573">
        <f t="shared" si="3"/>
        <v>1</v>
      </c>
      <c r="AB34" s="1573">
        <f t="shared" si="4"/>
        <v>1</v>
      </c>
      <c r="AC34" s="1573">
        <f t="shared" si="5"/>
        <v>1.0416666666666667</v>
      </c>
    </row>
    <row r="35" spans="1:29" ht="15">
      <c r="A35" s="591"/>
      <c r="B35" s="524" t="s">
        <v>728</v>
      </c>
      <c r="C35" s="3184" t="s">
        <v>3050</v>
      </c>
      <c r="D35" s="537">
        <v>100</v>
      </c>
      <c r="E35" s="3184" t="s">
        <v>3050</v>
      </c>
      <c r="F35" s="572">
        <f>SUMIF(106:106,E35,107:107)-SUMIF(106:106,C35,107:107)+100</f>
        <v>100</v>
      </c>
      <c r="G35" s="3184" t="s">
        <v>3050</v>
      </c>
      <c r="H35" s="537">
        <f>SUMIF(106:106,G35,107:107)-SUMIF(106:106,C35,107:107)+100</f>
        <v>100</v>
      </c>
      <c r="I35" s="3184" t="s">
        <v>3050</v>
      </c>
      <c r="J35" s="537">
        <f>SUMIF(106:106,I35,107:107)-SUMIF(106:106,C35,107:107)+100</f>
        <v>100</v>
      </c>
      <c r="K35" s="581">
        <v>2</v>
      </c>
      <c r="L35" s="2140"/>
      <c r="M35" s="2132"/>
      <c r="N35" s="2132"/>
      <c r="O35" s="2132"/>
      <c r="P35" s="3389"/>
      <c r="Q35" s="1569" t="str">
        <f t="shared" si="11"/>
        <v>建筑结构</v>
      </c>
      <c r="R35" s="1570" t="s">
        <v>8</v>
      </c>
      <c r="S35" s="1571">
        <f t="shared" si="12"/>
        <v>100</v>
      </c>
      <c r="T35" s="1570" t="s">
        <v>8</v>
      </c>
      <c r="U35" s="1571">
        <f t="shared" si="13"/>
        <v>100</v>
      </c>
      <c r="V35" s="1570" t="s">
        <v>8</v>
      </c>
      <c r="W35" s="1571">
        <f t="shared" si="14"/>
        <v>100</v>
      </c>
      <c r="X35" s="1564"/>
      <c r="Y35" s="3389"/>
      <c r="Z35" s="1572" t="str">
        <f t="shared" si="15"/>
        <v>建筑结构</v>
      </c>
      <c r="AA35" s="1573">
        <f t="shared" si="3"/>
        <v>1</v>
      </c>
      <c r="AB35" s="1573">
        <f t="shared" si="4"/>
        <v>1</v>
      </c>
      <c r="AC35" s="1573">
        <f t="shared" si="5"/>
        <v>1</v>
      </c>
    </row>
    <row r="36" spans="1:29" ht="15">
      <c r="A36" s="591"/>
      <c r="B36" s="524" t="s">
        <v>764</v>
      </c>
      <c r="C36" s="3184" t="s">
        <v>3051</v>
      </c>
      <c r="D36" s="537">
        <v>100</v>
      </c>
      <c r="E36" s="3184" t="s">
        <v>3051</v>
      </c>
      <c r="F36" s="572">
        <f>SUMIF(108:108,E36,109:109)-SUMIF(108:108,C36,109:109)+100</f>
        <v>100</v>
      </c>
      <c r="G36" s="3184" t="s">
        <v>3051</v>
      </c>
      <c r="H36" s="537">
        <f>SUMIF(108:108,G36,109:109)-SUMIF(108:108,C36,109:109)+100</f>
        <v>100</v>
      </c>
      <c r="I36" s="3184" t="s">
        <v>3051</v>
      </c>
      <c r="J36" s="537">
        <f>SUMIF(108:108,I36,109:109)-SUMIF(108:108,C36,109:109)+100</f>
        <v>100</v>
      </c>
      <c r="K36" s="581">
        <v>1</v>
      </c>
      <c r="L36" s="2140"/>
      <c r="M36" s="2132"/>
      <c r="N36" s="2132"/>
      <c r="O36" s="2132"/>
      <c r="P36" s="3389"/>
      <c r="Q36" s="1569" t="str">
        <f t="shared" si="11"/>
        <v>公共部分装修</v>
      </c>
      <c r="R36" s="1570" t="s">
        <v>8</v>
      </c>
      <c r="S36" s="1571">
        <f t="shared" si="12"/>
        <v>100</v>
      </c>
      <c r="T36" s="1570" t="s">
        <v>8</v>
      </c>
      <c r="U36" s="1571">
        <f t="shared" si="13"/>
        <v>100</v>
      </c>
      <c r="V36" s="1570" t="s">
        <v>8</v>
      </c>
      <c r="W36" s="1571">
        <f t="shared" si="14"/>
        <v>100</v>
      </c>
      <c r="X36" s="1564"/>
      <c r="Y36" s="3389"/>
      <c r="Z36" s="1572" t="str">
        <f t="shared" si="15"/>
        <v>公共部分装修</v>
      </c>
      <c r="AA36" s="1573">
        <f t="shared" si="3"/>
        <v>1</v>
      </c>
      <c r="AB36" s="1573">
        <f t="shared" si="4"/>
        <v>1</v>
      </c>
      <c r="AC36" s="1573">
        <f t="shared" si="5"/>
        <v>1</v>
      </c>
    </row>
    <row r="37" spans="1:29" ht="15">
      <c r="A37" s="591"/>
      <c r="B37" s="524" t="s">
        <v>765</v>
      </c>
      <c r="C37" s="879">
        <v>1</v>
      </c>
      <c r="D37" s="537">
        <v>100</v>
      </c>
      <c r="E37" s="879">
        <v>1</v>
      </c>
      <c r="F37" s="572">
        <f>LOOKUP(E37,111:111,112:112)-LOOKUP(C37,111:111,112:112)+100</f>
        <v>100</v>
      </c>
      <c r="G37" s="879">
        <v>1</v>
      </c>
      <c r="H37" s="572">
        <f>LOOKUP(G37,111:111,112:112)-LOOKUP(C37,111:111,112:112)+100</f>
        <v>100</v>
      </c>
      <c r="I37" s="879">
        <v>1</v>
      </c>
      <c r="J37" s="537">
        <f>LOOKUP(I37,111:111,112:112)-LOOKUP(C37,111:111,112:112)+100</f>
        <v>100</v>
      </c>
      <c r="K37" s="581">
        <v>2</v>
      </c>
      <c r="L37" s="2140"/>
      <c r="M37" s="2132"/>
      <c r="N37" s="2132"/>
      <c r="O37" s="2132"/>
      <c r="P37" s="3389"/>
      <c r="Q37" s="1569" t="str">
        <f t="shared" si="11"/>
        <v>成新度</v>
      </c>
      <c r="R37" s="1570" t="s">
        <v>8</v>
      </c>
      <c r="S37" s="1571">
        <f t="shared" si="12"/>
        <v>100</v>
      </c>
      <c r="T37" s="1570" t="s">
        <v>8</v>
      </c>
      <c r="U37" s="1571">
        <f t="shared" si="13"/>
        <v>100</v>
      </c>
      <c r="V37" s="1570" t="s">
        <v>8</v>
      </c>
      <c r="W37" s="1571">
        <f t="shared" si="14"/>
        <v>100</v>
      </c>
      <c r="X37" s="1564"/>
      <c r="Y37" s="3389"/>
      <c r="Z37" s="1572" t="str">
        <f t="shared" si="15"/>
        <v>成新度</v>
      </c>
      <c r="AA37" s="1573">
        <f t="shared" si="3"/>
        <v>1</v>
      </c>
      <c r="AB37" s="1573">
        <f t="shared" si="4"/>
        <v>1</v>
      </c>
      <c r="AC37" s="1573">
        <f t="shared" si="5"/>
        <v>1</v>
      </c>
    </row>
    <row r="38" spans="1:29" s="1216" customFormat="1" ht="15">
      <c r="A38" s="597"/>
      <c r="B38" s="524" t="s">
        <v>782</v>
      </c>
      <c r="C38" s="3184" t="s">
        <v>3052</v>
      </c>
      <c r="D38" s="254">
        <v>100</v>
      </c>
      <c r="E38" s="3184" t="s">
        <v>3052</v>
      </c>
      <c r="F38" s="572">
        <f>SUMIF(113:113,E38,114:114)-SUMIF(113:113,C38,114:114)+100</f>
        <v>100</v>
      </c>
      <c r="G38" s="3184" t="s">
        <v>3052</v>
      </c>
      <c r="H38" s="537">
        <f>SUMIF(113:113,G38,114:114)-SUMIF(113:113,C38,114:114)+100</f>
        <v>100</v>
      </c>
      <c r="I38" s="3184" t="s">
        <v>3052</v>
      </c>
      <c r="J38" s="537">
        <f>SUMIF(113:113,I38,114:114)-SUMIF(113:113,C38,114:114)+100</f>
        <v>100</v>
      </c>
      <c r="K38" s="581">
        <v>1</v>
      </c>
      <c r="L38" s="2133"/>
      <c r="M38" s="2134"/>
      <c r="N38" s="2134"/>
      <c r="O38" s="2134"/>
      <c r="P38" s="3389"/>
      <c r="Q38" s="1147" t="str">
        <f t="shared" si="11"/>
        <v>写字楼等级</v>
      </c>
      <c r="R38" s="1565" t="s">
        <v>8</v>
      </c>
      <c r="S38" s="1566">
        <f t="shared" si="12"/>
        <v>100</v>
      </c>
      <c r="T38" s="1565" t="s">
        <v>8</v>
      </c>
      <c r="U38" s="1566">
        <f t="shared" si="13"/>
        <v>100</v>
      </c>
      <c r="V38" s="1565" t="s">
        <v>8</v>
      </c>
      <c r="W38" s="1566">
        <f t="shared" si="14"/>
        <v>100</v>
      </c>
      <c r="X38" s="1567"/>
      <c r="Y38" s="3389"/>
      <c r="Z38" s="1146" t="str">
        <f t="shared" si="15"/>
        <v>写字楼等级</v>
      </c>
      <c r="AA38" s="1568">
        <f t="shared" si="3"/>
        <v>1</v>
      </c>
      <c r="AB38" s="1568">
        <f t="shared" si="4"/>
        <v>1</v>
      </c>
      <c r="AC38" s="1568">
        <f t="shared" si="5"/>
        <v>1</v>
      </c>
    </row>
    <row r="39" spans="1:29" ht="15">
      <c r="A39" s="591"/>
      <c r="B39" s="524" t="s">
        <v>783</v>
      </c>
      <c r="C39" s="3184" t="s">
        <v>3053</v>
      </c>
      <c r="D39" s="537">
        <v>100</v>
      </c>
      <c r="E39" s="3184" t="s">
        <v>3053</v>
      </c>
      <c r="F39" s="572">
        <f>SUMIF(115:115,E39,116:116)-SUMIF(115:115,C39,116:116)+100</f>
        <v>100</v>
      </c>
      <c r="G39" s="3184" t="s">
        <v>3053</v>
      </c>
      <c r="H39" s="537">
        <f>SUMIF(115:115,G39,116:116)-SUMIF(115:115,C39,116:116)+100</f>
        <v>100</v>
      </c>
      <c r="I39" s="3184" t="s">
        <v>3053</v>
      </c>
      <c r="J39" s="537">
        <f>SUMIF(115:115,I39,116:116)-SUMIF(115:115,C39,116:116)+100</f>
        <v>100</v>
      </c>
      <c r="K39" s="581">
        <v>2</v>
      </c>
      <c r="L39" s="2140"/>
      <c r="M39" s="2132"/>
      <c r="N39" s="2132"/>
      <c r="O39" s="2132"/>
      <c r="P39" s="3389" t="s">
        <v>551</v>
      </c>
      <c r="Q39" s="1569" t="str">
        <f t="shared" si="11"/>
        <v>物业管理</v>
      </c>
      <c r="R39" s="1570" t="s">
        <v>8</v>
      </c>
      <c r="S39" s="1571">
        <f t="shared" si="12"/>
        <v>100</v>
      </c>
      <c r="T39" s="1570" t="s">
        <v>8</v>
      </c>
      <c r="U39" s="1571">
        <f t="shared" si="13"/>
        <v>100</v>
      </c>
      <c r="V39" s="1570" t="s">
        <v>8</v>
      </c>
      <c r="W39" s="1571">
        <f t="shared" si="14"/>
        <v>100</v>
      </c>
      <c r="X39" s="1564"/>
      <c r="Y39" s="3389" t="s">
        <v>551</v>
      </c>
      <c r="Z39" s="1572" t="str">
        <f t="shared" si="15"/>
        <v>物业管理</v>
      </c>
      <c r="AA39" s="1573">
        <f t="shared" si="3"/>
        <v>1</v>
      </c>
      <c r="AB39" s="1573">
        <f t="shared" si="4"/>
        <v>1</v>
      </c>
      <c r="AC39" s="1573">
        <f t="shared" si="5"/>
        <v>1</v>
      </c>
    </row>
    <row r="40" spans="1:29" ht="15">
      <c r="A40" s="591"/>
      <c r="B40" s="1893" t="s">
        <v>2572</v>
      </c>
      <c r="C40" s="3184" t="s">
        <v>3046</v>
      </c>
      <c r="D40" s="537">
        <v>100</v>
      </c>
      <c r="E40" s="3184" t="s">
        <v>3046</v>
      </c>
      <c r="F40" s="572">
        <f>SUMIF(117:117,E40,118:118)-SUMIF(117:117,C40,118:118)+100</f>
        <v>100</v>
      </c>
      <c r="G40" s="3184" t="s">
        <v>3046</v>
      </c>
      <c r="H40" s="537">
        <f>SUMIF(117:117,G40,118:118)-SUMIF(117:117,C40,118:118)+100</f>
        <v>100</v>
      </c>
      <c r="I40" s="3184" t="s">
        <v>3046</v>
      </c>
      <c r="J40" s="537">
        <f>SUMIF(117:117,I40,118:118)-SUMIF(117:117,C40,118:118)+100</f>
        <v>100</v>
      </c>
      <c r="K40" s="581">
        <v>1</v>
      </c>
      <c r="L40" s="2140"/>
      <c r="M40" s="2132"/>
      <c r="N40" s="2132"/>
      <c r="O40" s="2132"/>
      <c r="P40" s="3389"/>
      <c r="Q40" s="1569" t="str">
        <f t="shared" si="11"/>
        <v>市政基础设施</v>
      </c>
      <c r="R40" s="1570" t="s">
        <v>8</v>
      </c>
      <c r="S40" s="1571">
        <f t="shared" si="12"/>
        <v>100</v>
      </c>
      <c r="T40" s="1570" t="s">
        <v>8</v>
      </c>
      <c r="U40" s="1571">
        <f t="shared" si="13"/>
        <v>100</v>
      </c>
      <c r="V40" s="1570" t="s">
        <v>8</v>
      </c>
      <c r="W40" s="1571">
        <f t="shared" si="14"/>
        <v>100</v>
      </c>
      <c r="X40" s="1564"/>
      <c r="Y40" s="3389"/>
      <c r="Z40" s="1572" t="str">
        <f t="shared" si="15"/>
        <v>市政基础设施</v>
      </c>
      <c r="AA40" s="1573">
        <f t="shared" si="3"/>
        <v>1</v>
      </c>
      <c r="AB40" s="1573">
        <f t="shared" si="4"/>
        <v>1</v>
      </c>
      <c r="AC40" s="1573">
        <f t="shared" si="5"/>
        <v>1</v>
      </c>
    </row>
    <row r="41" spans="1:29" ht="15">
      <c r="A41" s="591"/>
      <c r="B41" s="524" t="s">
        <v>768</v>
      </c>
      <c r="C41" s="3182" t="s">
        <v>3054</v>
      </c>
      <c r="D41" s="537">
        <v>100</v>
      </c>
      <c r="E41" s="3182" t="s">
        <v>3054</v>
      </c>
      <c r="F41" s="572">
        <f>SUMIF(119:119,E41,120:120)-SUMIF(119:119,C41,120:120)+100</f>
        <v>100</v>
      </c>
      <c r="G41" s="3182" t="s">
        <v>3054</v>
      </c>
      <c r="H41" s="537">
        <f>SUMIF(119:119,G41,120:120)-SUMIF(119:119,C41,120:120)+100</f>
        <v>100</v>
      </c>
      <c r="I41" s="3182" t="s">
        <v>3054</v>
      </c>
      <c r="J41" s="537">
        <f>SUMIF(119:119,I41,120:120)-SUMIF(119:119,C41,120:120)+100</f>
        <v>100</v>
      </c>
      <c r="K41" s="581">
        <v>2</v>
      </c>
      <c r="L41" s="2140"/>
      <c r="M41" s="2132"/>
      <c r="N41" s="2132"/>
      <c r="O41" s="2132"/>
      <c r="P41" s="3389"/>
      <c r="Q41" s="1569" t="str">
        <f t="shared" si="11"/>
        <v>层高</v>
      </c>
      <c r="R41" s="1570" t="s">
        <v>8</v>
      </c>
      <c r="S41" s="1571">
        <f t="shared" si="12"/>
        <v>100</v>
      </c>
      <c r="T41" s="1570" t="s">
        <v>8</v>
      </c>
      <c r="U41" s="1571">
        <f t="shared" si="13"/>
        <v>100</v>
      </c>
      <c r="V41" s="1570" t="s">
        <v>8</v>
      </c>
      <c r="W41" s="1571">
        <f t="shared" si="14"/>
        <v>100</v>
      </c>
      <c r="X41" s="1564"/>
      <c r="Y41" s="3389"/>
      <c r="Z41" s="1572" t="str">
        <f t="shared" si="15"/>
        <v>层高</v>
      </c>
      <c r="AA41" s="1573">
        <f t="shared" si="3"/>
        <v>1</v>
      </c>
      <c r="AB41" s="1573">
        <f t="shared" si="4"/>
        <v>1</v>
      </c>
      <c r="AC41" s="1573">
        <f t="shared" si="5"/>
        <v>1</v>
      </c>
    </row>
    <row r="42" spans="1:29" s="1335" customFormat="1" ht="15" hidden="1">
      <c r="A42" s="600"/>
      <c r="B42" s="900" t="s">
        <v>784</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8"/>
      <c r="M42" s="2169"/>
      <c r="N42" s="2169"/>
      <c r="O42" s="2169"/>
      <c r="P42" s="3389"/>
      <c r="Q42" s="1602" t="str">
        <f t="shared" si="11"/>
        <v>单套建筑面积</v>
      </c>
      <c r="R42" s="1574" t="s">
        <v>8</v>
      </c>
      <c r="S42" s="1575">
        <f t="shared" si="12"/>
        <v>100</v>
      </c>
      <c r="T42" s="1574" t="s">
        <v>8</v>
      </c>
      <c r="U42" s="1575">
        <f t="shared" si="13"/>
        <v>100</v>
      </c>
      <c r="V42" s="1574" t="s">
        <v>8</v>
      </c>
      <c r="W42" s="1575">
        <f t="shared" si="14"/>
        <v>100</v>
      </c>
      <c r="X42" s="1576"/>
      <c r="Y42" s="3389"/>
      <c r="Z42" s="1577" t="str">
        <f t="shared" si="15"/>
        <v>单套建筑面积</v>
      </c>
      <c r="AA42" s="1573">
        <f t="shared" si="3"/>
        <v>1</v>
      </c>
      <c r="AB42" s="1573">
        <f t="shared" si="4"/>
        <v>1</v>
      </c>
      <c r="AC42" s="1573">
        <f t="shared" si="5"/>
        <v>1</v>
      </c>
    </row>
    <row r="43" spans="1:29" ht="15">
      <c r="A43" s="591"/>
      <c r="B43" s="524" t="s">
        <v>771</v>
      </c>
      <c r="C43" s="3184" t="s">
        <v>3055</v>
      </c>
      <c r="D43" s="537">
        <v>100</v>
      </c>
      <c r="E43" s="3184" t="s">
        <v>3055</v>
      </c>
      <c r="F43" s="572">
        <f>SUMIF(123:123,E43,124:124)-SUMIF(123:123,C43,124:124)+100</f>
        <v>100</v>
      </c>
      <c r="G43" s="3184" t="s">
        <v>3055</v>
      </c>
      <c r="H43" s="537">
        <f>SUMIF(123:123,G43,124:124)-SUMIF(123:123,C43,124:124)+100</f>
        <v>100</v>
      </c>
      <c r="I43" s="3184" t="s">
        <v>3055</v>
      </c>
      <c r="J43" s="537">
        <f>SUMIF(123:123,I43,124:124)-SUMIF(123:123,C43,124:124)+100</f>
        <v>100</v>
      </c>
      <c r="K43" s="581">
        <v>2</v>
      </c>
      <c r="L43" s="2140"/>
      <c r="M43" s="2132"/>
      <c r="N43" s="2132"/>
      <c r="O43" s="2132"/>
      <c r="P43" s="3389"/>
      <c r="Q43" s="1569" t="str">
        <f t="shared" si="11"/>
        <v>内部装修</v>
      </c>
      <c r="R43" s="1570" t="s">
        <v>8</v>
      </c>
      <c r="S43" s="1571">
        <f t="shared" si="12"/>
        <v>100</v>
      </c>
      <c r="T43" s="1570" t="s">
        <v>8</v>
      </c>
      <c r="U43" s="1571">
        <f t="shared" si="13"/>
        <v>100</v>
      </c>
      <c r="V43" s="1570" t="s">
        <v>8</v>
      </c>
      <c r="W43" s="1571">
        <f t="shared" si="14"/>
        <v>100</v>
      </c>
      <c r="X43" s="1564"/>
      <c r="Y43" s="3389"/>
      <c r="Z43" s="1572" t="str">
        <f t="shared" si="15"/>
        <v>内部装修</v>
      </c>
      <c r="AA43" s="1573">
        <f t="shared" si="3"/>
        <v>1</v>
      </c>
      <c r="AB43" s="1573">
        <f t="shared" si="4"/>
        <v>1</v>
      </c>
      <c r="AC43" s="1573">
        <f t="shared" si="5"/>
        <v>1</v>
      </c>
    </row>
    <row r="44" spans="1:29" ht="27.75" thickBot="1">
      <c r="A44" s="591"/>
      <c r="B44" s="524" t="s">
        <v>736</v>
      </c>
      <c r="C44" s="3184" t="s">
        <v>3044</v>
      </c>
      <c r="D44" s="537">
        <v>100</v>
      </c>
      <c r="E44" s="3184" t="s">
        <v>3044</v>
      </c>
      <c r="F44" s="572">
        <f>SUMIF(125:125,E44,126:126)-SUMIF(125:125,C44,126:126)+100</f>
        <v>100</v>
      </c>
      <c r="G44" s="3184" t="s">
        <v>3044</v>
      </c>
      <c r="H44" s="537">
        <f>SUMIF(125:125,G44,126:126)-SUMIF(125:125,C44,126:126)+100</f>
        <v>100</v>
      </c>
      <c r="I44" s="3184" t="s">
        <v>3044</v>
      </c>
      <c r="J44" s="537">
        <f>SUMIF(125:125,I44,126:126)-SUMIF(125:125,C44,126:126)+100</f>
        <v>100</v>
      </c>
      <c r="K44" s="581">
        <v>2</v>
      </c>
      <c r="L44" s="2140"/>
      <c r="M44" s="2132"/>
      <c r="N44" s="2132"/>
      <c r="O44" s="2132"/>
      <c r="P44" s="3389"/>
      <c r="Q44" s="1569" t="str">
        <f t="shared" si="11"/>
        <v>内部装修维护情况</v>
      </c>
      <c r="R44" s="1570" t="s">
        <v>8</v>
      </c>
      <c r="S44" s="1571">
        <f t="shared" si="12"/>
        <v>100</v>
      </c>
      <c r="T44" s="1570" t="s">
        <v>8</v>
      </c>
      <c r="U44" s="1571">
        <f t="shared" si="13"/>
        <v>100</v>
      </c>
      <c r="V44" s="1570" t="s">
        <v>8</v>
      </c>
      <c r="W44" s="1571">
        <f t="shared" si="14"/>
        <v>100</v>
      </c>
      <c r="X44" s="1564"/>
      <c r="Y44" s="3389"/>
      <c r="Z44" s="1572" t="str">
        <f t="shared" si="15"/>
        <v>内部装修维护情况</v>
      </c>
      <c r="AA44" s="1573">
        <f t="shared" si="3"/>
        <v>1</v>
      </c>
      <c r="AB44" s="1573">
        <f t="shared" si="4"/>
        <v>1</v>
      </c>
      <c r="AC44" s="1573">
        <f t="shared" si="5"/>
        <v>1</v>
      </c>
    </row>
    <row r="45" spans="1:29" s="1216" customFormat="1" ht="15" hidden="1">
      <c r="A45" s="597"/>
      <c r="B45" s="874">
        <v>111</v>
      </c>
      <c r="C45" s="876"/>
      <c r="D45" s="254">
        <v>100</v>
      </c>
      <c r="E45" s="525"/>
      <c r="F45" s="860">
        <f>SUMIF(127:127,E45,128:128)-SUMIF(127:127,C45,128:128)+100</f>
        <v>100</v>
      </c>
      <c r="G45" s="525"/>
      <c r="H45" s="254">
        <f>SUMIF(127:127,G45,128:128)-SUMIF(127:127,C45,128:128)+100</f>
        <v>100</v>
      </c>
      <c r="I45" s="525"/>
      <c r="J45" s="254">
        <f>SUMIF(127:127,I45,128:128)-SUMIF(127:127,C45,128:128)+100</f>
        <v>100</v>
      </c>
      <c r="K45" s="578"/>
      <c r="L45" s="2133"/>
      <c r="M45" s="2134"/>
      <c r="N45" s="2134"/>
      <c r="O45" s="2134"/>
      <c r="P45" s="3389"/>
      <c r="Q45" s="1147">
        <f t="shared" si="11"/>
        <v>111</v>
      </c>
      <c r="R45" s="1565" t="s">
        <v>8</v>
      </c>
      <c r="S45" s="1566">
        <f t="shared" si="12"/>
        <v>100</v>
      </c>
      <c r="T45" s="1565" t="s">
        <v>8</v>
      </c>
      <c r="U45" s="1566">
        <f t="shared" si="13"/>
        <v>100</v>
      </c>
      <c r="V45" s="1565" t="s">
        <v>8</v>
      </c>
      <c r="W45" s="1566">
        <f t="shared" si="14"/>
        <v>100</v>
      </c>
      <c r="X45" s="1567"/>
      <c r="Y45" s="3389"/>
      <c r="Z45" s="1146">
        <f t="shared" si="15"/>
        <v>111</v>
      </c>
      <c r="AA45" s="1568">
        <f t="shared" si="3"/>
        <v>1</v>
      </c>
      <c r="AB45" s="1568">
        <f t="shared" si="4"/>
        <v>1</v>
      </c>
      <c r="AC45" s="1568">
        <f t="shared" si="5"/>
        <v>1</v>
      </c>
    </row>
    <row r="46" spans="1:29" ht="15" hidden="1">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0"/>
      <c r="M46" s="2132"/>
      <c r="N46" s="2132"/>
      <c r="O46" s="2132"/>
      <c r="P46" s="3389"/>
      <c r="Q46" s="1569">
        <f t="shared" si="11"/>
        <v>111</v>
      </c>
      <c r="R46" s="1570" t="s">
        <v>8</v>
      </c>
      <c r="S46" s="1571">
        <f t="shared" si="12"/>
        <v>100</v>
      </c>
      <c r="T46" s="1570" t="s">
        <v>8</v>
      </c>
      <c r="U46" s="1571">
        <f t="shared" si="13"/>
        <v>100</v>
      </c>
      <c r="V46" s="1570" t="s">
        <v>8</v>
      </c>
      <c r="W46" s="1571">
        <f t="shared" si="14"/>
        <v>100</v>
      </c>
      <c r="X46" s="1564"/>
      <c r="Y46" s="3389"/>
      <c r="Z46" s="1572">
        <f t="shared" si="15"/>
        <v>111</v>
      </c>
      <c r="AA46" s="1573">
        <f t="shared" si="3"/>
        <v>1</v>
      </c>
      <c r="AB46" s="1573">
        <f t="shared" si="4"/>
        <v>1</v>
      </c>
      <c r="AC46" s="1573">
        <f t="shared" si="5"/>
        <v>1</v>
      </c>
    </row>
    <row r="47" spans="1:29" ht="15.75" hidden="1"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0"/>
      <c r="M47" s="2132"/>
      <c r="N47" s="2132"/>
      <c r="O47" s="2132"/>
      <c r="P47" s="3467"/>
      <c r="Q47" s="1569">
        <f t="shared" si="11"/>
        <v>111</v>
      </c>
      <c r="R47" s="1570" t="s">
        <v>8</v>
      </c>
      <c r="S47" s="1571">
        <f t="shared" si="12"/>
        <v>100</v>
      </c>
      <c r="T47" s="1570" t="s">
        <v>8</v>
      </c>
      <c r="U47" s="1571">
        <f t="shared" si="13"/>
        <v>100</v>
      </c>
      <c r="V47" s="1570" t="s">
        <v>8</v>
      </c>
      <c r="W47" s="1571">
        <f t="shared" si="14"/>
        <v>100</v>
      </c>
      <c r="X47" s="1564"/>
      <c r="Y47" s="3467"/>
      <c r="Z47" s="1572">
        <f t="shared" si="15"/>
        <v>111</v>
      </c>
      <c r="AA47" s="1573">
        <f t="shared" si="3"/>
        <v>1</v>
      </c>
      <c r="AB47" s="1573">
        <f t="shared" si="4"/>
        <v>1</v>
      </c>
      <c r="AC47" s="1573">
        <f t="shared" si="5"/>
        <v>1</v>
      </c>
    </row>
    <row r="48" spans="1:29" ht="15">
      <c r="A48" s="604" t="s">
        <v>737</v>
      </c>
      <c r="B48" s="883"/>
      <c r="C48" s="2649" t="s">
        <v>1</v>
      </c>
      <c r="D48" s="2650"/>
      <c r="E48" s="2651">
        <f>ROUND(22000*0.98,0)</f>
        <v>21560</v>
      </c>
      <c r="F48" s="2652"/>
      <c r="G48" s="2653">
        <f>ROUND(19000*0.98,0)</f>
        <v>18620</v>
      </c>
      <c r="H48" s="2654"/>
      <c r="I48" s="2651">
        <f>ROUND(17000*0.98,0)</f>
        <v>16660</v>
      </c>
      <c r="J48" s="2654"/>
      <c r="K48" s="1608"/>
      <c r="L48" s="2142"/>
      <c r="M48" s="2132"/>
      <c r="N48" s="2132"/>
      <c r="O48" s="2132"/>
      <c r="P48" s="3407" t="str">
        <f>A48</f>
        <v>成交单价（元/平方米）</v>
      </c>
      <c r="Q48" s="3384"/>
      <c r="R48" s="3466">
        <f>E48</f>
        <v>21560</v>
      </c>
      <c r="S48" s="3466"/>
      <c r="T48" s="3466">
        <f>G48</f>
        <v>18620</v>
      </c>
      <c r="U48" s="3466"/>
      <c r="V48" s="3466">
        <f>I48</f>
        <v>16660</v>
      </c>
      <c r="W48" s="3466"/>
      <c r="X48" s="1556"/>
      <c r="Y48" s="1578"/>
      <c r="Z48" s="1556"/>
      <c r="AA48" s="1556"/>
      <c r="AB48" s="1556"/>
      <c r="AC48" s="1556"/>
    </row>
    <row r="49" spans="1:29" ht="15.75" thickBot="1">
      <c r="A49" s="612" t="s">
        <v>2769</v>
      </c>
      <c r="B49" s="884"/>
      <c r="C49" s="2655">
        <f>R50</f>
        <v>18566</v>
      </c>
      <c r="D49" s="2656"/>
      <c r="E49" s="2657">
        <f>R49</f>
        <v>18748</v>
      </c>
      <c r="F49" s="2657"/>
      <c r="G49" s="2655">
        <f>T49</f>
        <v>17733</v>
      </c>
      <c r="H49" s="2656"/>
      <c r="I49" s="2657">
        <f>V49</f>
        <v>19217</v>
      </c>
      <c r="J49" s="2656"/>
      <c r="K49" s="1609"/>
      <c r="L49" s="2142"/>
      <c r="M49" s="2132"/>
      <c r="N49" s="2132"/>
      <c r="O49" s="2132"/>
      <c r="P49" s="3407" t="str">
        <f>A49</f>
        <v>比较价格（元/平方米）</v>
      </c>
      <c r="Q49" s="3384"/>
      <c r="R49" s="3466">
        <f>IF(F1="售价",ROUND(PRODUCT(R48,AA7:AA47),0),ROUND(PRODUCT(R48,AA7:AA47),1))</f>
        <v>18748</v>
      </c>
      <c r="S49" s="3466"/>
      <c r="T49" s="3466">
        <f>IF(F1="售价",ROUND(PRODUCT(T48,AB7:AB47),0),ROUND(PRODUCT(T48,AB7:AB47),1))</f>
        <v>17733</v>
      </c>
      <c r="U49" s="3466"/>
      <c r="V49" s="3466">
        <f>IF(F1="售价",ROUND(PRODUCT(V48,AC7:AC47),0),ROUND(PRODUCT(V48,AC7:AC47),1))</f>
        <v>19217</v>
      </c>
      <c r="W49" s="3466"/>
      <c r="X49" s="1556"/>
      <c r="Y49" s="1556"/>
      <c r="Z49" s="1556"/>
      <c r="AA49" s="1556"/>
      <c r="AB49" s="1556"/>
      <c r="AC49" s="1556"/>
    </row>
    <row r="50" spans="1:29" ht="15.75" thickBot="1">
      <c r="A50" s="618" t="s">
        <v>2946</v>
      </c>
      <c r="B50" s="619"/>
      <c r="C50" s="2658">
        <f>R50</f>
        <v>18566</v>
      </c>
      <c r="D50" s="2658"/>
      <c r="E50" s="2658"/>
      <c r="F50" s="2658"/>
      <c r="G50" s="2658"/>
      <c r="H50" s="2658"/>
      <c r="I50" s="2658"/>
      <c r="J50" s="2658"/>
      <c r="K50" s="1610"/>
      <c r="L50" s="2142"/>
      <c r="M50" s="2132"/>
      <c r="N50" s="2132"/>
      <c r="O50" s="2132"/>
      <c r="P50" s="3471" t="str">
        <f>A50</f>
        <v>估价对象XX用房的比较价格（楼面单价，元/平方米）</v>
      </c>
      <c r="Q50" s="3407"/>
      <c r="R50" s="3465">
        <f>IF(F1="售价",ROUND(AVERAGE(R49:V49),0),ROUND(AVERAGE(R49:V49),1))</f>
        <v>18566</v>
      </c>
      <c r="S50" s="3465"/>
      <c r="T50" s="3465"/>
      <c r="U50" s="3465"/>
      <c r="V50" s="3465"/>
      <c r="W50" s="3465"/>
      <c r="X50" s="1556"/>
      <c r="Y50" s="1556"/>
      <c r="Z50" s="1556"/>
      <c r="AA50" s="1556"/>
      <c r="AB50" s="1556"/>
      <c r="AC50" s="1556"/>
    </row>
    <row r="51" spans="1:29">
      <c r="A51" s="2143"/>
      <c r="B51" s="2143"/>
      <c r="C51" s="3189" t="s">
        <v>3060</v>
      </c>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1" t="s">
        <v>558</v>
      </c>
      <c r="D53" s="622"/>
      <c r="E53" s="623">
        <f>IF(E48&lt;E49,E49/E48-1,E48/E49-1)</f>
        <v>0.1499893321954342</v>
      </c>
      <c r="F53" s="624" t="str">
        <f>IF(OR(E53&gt;=0.3,E53&lt;=-0.3),"超过30%","")</f>
        <v/>
      </c>
      <c r="G53" s="623">
        <f>IF(G48&lt;G49,G49/G48-1,G48/G49-1)</f>
        <v>5.0019737213105486E-2</v>
      </c>
      <c r="H53" s="624" t="str">
        <f>IF(OR(G53&gt;=0.3,G53&lt;=-0.3),"超过30%","")</f>
        <v/>
      </c>
      <c r="I53" s="623">
        <f>IF(I48&lt;I49,I49/I48-1,I48/I49-1)</f>
        <v>0.15348139255702287</v>
      </c>
      <c r="J53" s="624" t="str">
        <f>IF(OR(I53&gt;=0.3,I53&lt;=-0.3),"超过30%","")</f>
        <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1" t="s">
        <v>559</v>
      </c>
      <c r="D54" s="625"/>
      <c r="E54" s="623">
        <f>IF(E49&lt;G49,G49/E49-1,E49/G49-1)</f>
        <v>5.7237918005977662E-2</v>
      </c>
      <c r="F54" s="624" t="str">
        <f>IF(OR(E54&gt;=0.2,E54&lt;=-0.2),"超过20%","")</f>
        <v/>
      </c>
      <c r="G54" s="623">
        <f>IF(G49&lt;I49,I49/G49-1,G49/I49-1)</f>
        <v>8.3685783567360339E-2</v>
      </c>
      <c r="H54" s="624" t="str">
        <f>IF(OR(G54&gt;=0.2,G54&lt;=-0.2),"超过20%","")</f>
        <v/>
      </c>
      <c r="I54" s="623">
        <f>IF(I49&lt;E49,E49/I49-1,I49/E49-1)</f>
        <v>2.5016001706848812E-2</v>
      </c>
      <c r="J54" s="624" t="str">
        <f>IF(OR(I54&gt;=0.2,I54&lt;=-0.2),"超过20%","")</f>
        <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1" t="s">
        <v>560</v>
      </c>
      <c r="D55" s="625"/>
      <c r="E55" s="623">
        <f>IF(E48&lt;G48,G48/E48-1,E48/G48-1)</f>
        <v>0.15789473684210531</v>
      </c>
      <c r="F55" s="624" t="str">
        <f>IF(OR(E55&gt;=0.3,E55&lt;=-0.3),"超过30%","")</f>
        <v/>
      </c>
      <c r="G55" s="623">
        <f>IF(G48&lt;I48,I48/G48-1,G48/I48-1)</f>
        <v>0.11764705882352944</v>
      </c>
      <c r="H55" s="624" t="str">
        <f>IF(OR(G55&gt;=0.3,G55&lt;=-0.3),"超过30%","")</f>
        <v/>
      </c>
      <c r="I55" s="623">
        <f>IF(I48&lt;E48,E48/I48-1,I48/E48-1)</f>
        <v>0.29411764705882359</v>
      </c>
      <c r="J55" s="624" t="str">
        <f>IF(OR(I55&gt;=0.3,I55&lt;=-0.3),"超过30%","")</f>
        <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2" t="s">
        <v>530</v>
      </c>
      <c r="B59" s="643"/>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09"/>
      <c r="Q59" s="2159"/>
      <c r="R59" s="2159"/>
      <c r="S59" s="2159"/>
      <c r="T59" s="2159"/>
      <c r="U59" s="2159"/>
      <c r="V59" s="2159"/>
      <c r="W59" s="2159"/>
      <c r="X59" s="2159"/>
      <c r="Y59" s="2159"/>
      <c r="Z59" s="2159"/>
      <c r="AA59" s="2159"/>
      <c r="AB59" s="2159"/>
      <c r="AC59" s="2159"/>
    </row>
    <row r="60" spans="1:29" s="1216" customFormat="1" ht="15">
      <c r="A60" s="644"/>
      <c r="B60" s="645"/>
      <c r="C60" s="646">
        <v>100</v>
      </c>
      <c r="D60" s="647"/>
      <c r="E60" s="647"/>
      <c r="F60" s="647"/>
      <c r="G60" s="647"/>
      <c r="H60" s="647"/>
      <c r="I60" s="647"/>
      <c r="J60" s="647"/>
      <c r="K60" s="647"/>
      <c r="L60" s="647"/>
      <c r="M60" s="648"/>
      <c r="N60" s="647"/>
      <c r="O60" s="648"/>
      <c r="P60" s="2210"/>
      <c r="Q60" s="1991"/>
      <c r="R60" s="1991"/>
      <c r="S60" s="1991"/>
      <c r="T60" s="1991"/>
      <c r="U60" s="1991"/>
      <c r="V60" s="1991"/>
      <c r="W60" s="1991"/>
      <c r="X60" s="1991"/>
      <c r="Y60" s="1991"/>
      <c r="Z60" s="1991"/>
      <c r="AA60" s="1991"/>
      <c r="AB60" s="1991"/>
      <c r="AC60" s="1991"/>
    </row>
    <row r="61" spans="1:29" s="1216" customFormat="1" ht="15.75" thickBot="1">
      <c r="A61" s="650" t="s">
        <v>576</v>
      </c>
      <c r="B61" s="651"/>
      <c r="C61" s="652"/>
      <c r="D61" s="653"/>
      <c r="E61" s="653"/>
      <c r="F61" s="653"/>
      <c r="G61" s="653"/>
      <c r="H61" s="653"/>
      <c r="I61" s="653"/>
      <c r="J61" s="653"/>
      <c r="K61" s="653"/>
      <c r="L61" s="653"/>
      <c r="M61" s="654"/>
      <c r="N61" s="653"/>
      <c r="O61" s="654"/>
      <c r="P61" s="2210"/>
      <c r="Q61" s="2156"/>
      <c r="R61" s="1991"/>
      <c r="S61" s="1991"/>
      <c r="T61" s="1991"/>
      <c r="U61" s="1991"/>
      <c r="V61" s="1991"/>
      <c r="W61" s="1991"/>
      <c r="X61" s="1991"/>
      <c r="Y61" s="1991"/>
      <c r="Z61" s="1991"/>
      <c r="AA61" s="1991"/>
      <c r="AB61" s="1991"/>
      <c r="AC61" s="1991"/>
    </row>
    <row r="62" spans="1:29" s="1216" customFormat="1" ht="15">
      <c r="A62" s="656" t="s">
        <v>532</v>
      </c>
      <c r="B62" s="645"/>
      <c r="C62" s="657" t="s">
        <v>577</v>
      </c>
      <c r="D62" s="658"/>
      <c r="E62" s="658"/>
      <c r="F62" s="658"/>
      <c r="G62" s="658"/>
      <c r="H62" s="658"/>
      <c r="I62" s="658"/>
      <c r="J62" s="658"/>
      <c r="K62" s="658"/>
      <c r="L62" s="659"/>
      <c r="M62" s="660"/>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6"/>
      <c r="B63" s="645"/>
      <c r="C63" s="885">
        <v>100</v>
      </c>
      <c r="D63" s="647"/>
      <c r="E63" s="647"/>
      <c r="F63" s="647"/>
      <c r="G63" s="647"/>
      <c r="H63" s="647"/>
      <c r="I63" s="647"/>
      <c r="J63" s="647"/>
      <c r="K63" s="647"/>
      <c r="L63" s="647"/>
      <c r="M63" s="649"/>
      <c r="N63" s="2160"/>
      <c r="O63" s="2160"/>
      <c r="P63" s="2210"/>
      <c r="Q63" s="2156"/>
      <c r="R63" s="1991"/>
      <c r="S63" s="1991"/>
      <c r="T63" s="1991"/>
      <c r="U63" s="1991"/>
      <c r="V63" s="1991"/>
      <c r="W63" s="1991"/>
      <c r="X63" s="1991"/>
      <c r="Y63" s="1991"/>
      <c r="Z63" s="1991"/>
      <c r="AA63" s="1991"/>
      <c r="AB63" s="1991"/>
      <c r="AC63" s="1991"/>
    </row>
    <row r="64" spans="1:29">
      <c r="A64" s="661" t="s">
        <v>578</v>
      </c>
      <c r="B64" s="662" t="s">
        <v>535</v>
      </c>
      <c r="C64" s="701" t="str">
        <f>C9</f>
        <v>商业</v>
      </c>
      <c r="D64" s="595"/>
      <c r="E64" s="595"/>
      <c r="F64" s="595"/>
      <c r="G64" s="595"/>
      <c r="H64" s="595"/>
      <c r="I64" s="595"/>
      <c r="J64" s="595"/>
      <c r="K64" s="663"/>
      <c r="L64" s="664"/>
      <c r="M64" s="665"/>
      <c r="N64" s="2162"/>
      <c r="O64" s="2162"/>
      <c r="P64" s="2212"/>
      <c r="Q64" s="2156"/>
      <c r="R64" s="2143"/>
      <c r="S64" s="2143"/>
      <c r="T64" s="2143"/>
      <c r="U64" s="2143"/>
      <c r="V64" s="2143"/>
      <c r="W64" s="2143"/>
      <c r="X64" s="2143"/>
      <c r="Y64" s="2143"/>
      <c r="Z64" s="2143"/>
      <c r="AA64" s="2143"/>
      <c r="AB64" s="2143"/>
      <c r="AC64" s="2143"/>
    </row>
    <row r="65" spans="1:29" ht="15.75" thickBot="1">
      <c r="A65" s="666"/>
      <c r="B65" s="667"/>
      <c r="C65" s="668"/>
      <c r="D65" s="668"/>
      <c r="E65" s="668"/>
      <c r="F65" s="668"/>
      <c r="G65" s="668"/>
      <c r="H65" s="668"/>
      <c r="I65" s="668"/>
      <c r="J65" s="668"/>
      <c r="K65" s="668"/>
      <c r="L65" s="668"/>
      <c r="M65" s="669"/>
      <c r="N65" s="2164"/>
      <c r="O65" s="2164"/>
      <c r="P65" s="2212"/>
      <c r="Q65" s="2156"/>
      <c r="R65" s="2143"/>
      <c r="S65" s="2143"/>
      <c r="T65" s="2143"/>
      <c r="U65" s="2143"/>
      <c r="V65" s="2143"/>
      <c r="W65" s="2143"/>
      <c r="X65" s="2143"/>
      <c r="Y65" s="2143"/>
      <c r="Z65" s="2143"/>
      <c r="AA65" s="2143"/>
      <c r="AB65" s="2143"/>
      <c r="AC65" s="2143"/>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62"/>
      <c r="O66" s="2162"/>
      <c r="P66" s="2212"/>
      <c r="Q66" s="2156"/>
      <c r="R66" s="2143"/>
      <c r="S66" s="2143"/>
      <c r="T66" s="2143"/>
      <c r="U66" s="2143"/>
      <c r="V66" s="2143"/>
      <c r="W66" s="2143"/>
      <c r="X66" s="2143"/>
      <c r="Y66" s="2143"/>
      <c r="Z66" s="2143"/>
      <c r="AA66" s="2143"/>
      <c r="AB66" s="2143"/>
      <c r="AC66" s="2143"/>
    </row>
    <row r="67" spans="1:29" ht="15.75" thickBot="1">
      <c r="A67" s="666"/>
      <c r="B67" s="675"/>
      <c r="C67" s="676" t="s">
        <v>14</v>
      </c>
      <c r="D67" s="676" t="s">
        <v>15</v>
      </c>
      <c r="E67" s="676">
        <v>100</v>
      </c>
      <c r="F67" s="676">
        <f>E67-$K10</f>
        <v>99</v>
      </c>
      <c r="G67" s="676">
        <f>F67-$K10</f>
        <v>98</v>
      </c>
      <c r="H67" s="676">
        <f>G67-$K10</f>
        <v>97</v>
      </c>
      <c r="I67" s="676">
        <f>H67-$K10</f>
        <v>96</v>
      </c>
      <c r="J67" s="676"/>
      <c r="K67" s="676"/>
      <c r="L67" s="676"/>
      <c r="M67" s="677"/>
      <c r="N67" s="2164"/>
      <c r="O67" s="2164"/>
      <c r="P67" s="2212"/>
      <c r="Q67" s="2156"/>
      <c r="R67" s="2143"/>
      <c r="S67" s="2143"/>
      <c r="T67" s="2143"/>
      <c r="U67" s="2143"/>
      <c r="V67" s="2143"/>
      <c r="W67" s="2143"/>
      <c r="X67" s="2143"/>
      <c r="Y67" s="2143"/>
      <c r="Z67" s="2143"/>
      <c r="AA67" s="2143"/>
      <c r="AB67" s="2143"/>
      <c r="AC67" s="2143"/>
    </row>
    <row r="68" spans="1:29" ht="15.75" thickTop="1">
      <c r="A68" s="666"/>
      <c r="B68" s="678" t="s">
        <v>539</v>
      </c>
      <c r="C68" s="679" t="str">
        <f>C69&amp;"（含）"&amp;"-"&amp;D69</f>
        <v>0（含）-3</v>
      </c>
      <c r="D68" s="679" t="str">
        <f t="shared" ref="D68:L68" si="17">D69&amp;"（含）"&amp;"-"&amp;E69</f>
        <v>3（含）-6</v>
      </c>
      <c r="E68" s="679" t="str">
        <f t="shared" si="17"/>
        <v>6（含）-9</v>
      </c>
      <c r="F68" s="679" t="str">
        <f t="shared" si="17"/>
        <v>9（含）-12</v>
      </c>
      <c r="G68" s="679" t="str">
        <f t="shared" si="17"/>
        <v>12（含）-</v>
      </c>
      <c r="H68" s="679" t="str">
        <f t="shared" si="17"/>
        <v>（含）-</v>
      </c>
      <c r="I68" s="679" t="str">
        <f t="shared" si="17"/>
        <v>（含）-</v>
      </c>
      <c r="J68" s="679" t="str">
        <f t="shared" si="17"/>
        <v>（含）-</v>
      </c>
      <c r="K68" s="679" t="str">
        <f t="shared" si="17"/>
        <v>（含）-</v>
      </c>
      <c r="L68" s="679" t="str">
        <f t="shared" si="17"/>
        <v>（含）-</v>
      </c>
      <c r="M68" s="552"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6"/>
      <c r="B69" s="680"/>
      <c r="C69" s="538">
        <v>0</v>
      </c>
      <c r="D69" s="538">
        <v>3</v>
      </c>
      <c r="E69" s="538">
        <v>6</v>
      </c>
      <c r="F69" s="538">
        <v>9</v>
      </c>
      <c r="G69" s="538">
        <v>12</v>
      </c>
      <c r="H69" s="538"/>
      <c r="I69" s="538"/>
      <c r="J69" s="538"/>
      <c r="K69" s="681"/>
      <c r="L69" s="682"/>
      <c r="M69" s="683"/>
      <c r="N69" s="2162"/>
      <c r="O69" s="2162"/>
      <c r="P69" s="2212"/>
      <c r="Q69" s="2156"/>
      <c r="R69" s="2143"/>
      <c r="S69" s="2143"/>
      <c r="T69" s="2143"/>
      <c r="U69" s="2143"/>
      <c r="V69" s="2143"/>
      <c r="W69" s="2143"/>
      <c r="X69" s="2143"/>
      <c r="Y69" s="2143"/>
      <c r="Z69" s="2143"/>
      <c r="AA69" s="2143"/>
      <c r="AB69" s="2143"/>
      <c r="AC69" s="2143"/>
    </row>
    <row r="70" spans="1:29" ht="15.75" thickBot="1">
      <c r="A70" s="666"/>
      <c r="B70" s="667"/>
      <c r="C70" s="676">
        <v>100</v>
      </c>
      <c r="D70" s="676">
        <f t="shared" ref="D70:M70" si="18">C70-$K11</f>
        <v>105</v>
      </c>
      <c r="E70" s="676">
        <f t="shared" si="18"/>
        <v>110</v>
      </c>
      <c r="F70" s="676">
        <f t="shared" si="18"/>
        <v>115</v>
      </c>
      <c r="G70" s="676">
        <f t="shared" si="18"/>
        <v>120</v>
      </c>
      <c r="H70" s="676">
        <f t="shared" si="18"/>
        <v>125</v>
      </c>
      <c r="I70" s="676">
        <f t="shared" si="18"/>
        <v>130</v>
      </c>
      <c r="J70" s="676">
        <f t="shared" si="18"/>
        <v>135</v>
      </c>
      <c r="K70" s="676">
        <f t="shared" si="18"/>
        <v>140</v>
      </c>
      <c r="L70" s="676">
        <f t="shared" si="18"/>
        <v>145</v>
      </c>
      <c r="M70" s="677">
        <f t="shared" si="18"/>
        <v>150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4"/>
      <c r="B71" s="670">
        <f>B12</f>
        <v>111</v>
      </c>
      <c r="C71" s="685"/>
      <c r="D71" s="685"/>
      <c r="E71" s="685"/>
      <c r="F71" s="685"/>
      <c r="G71" s="685"/>
      <c r="H71" s="686"/>
      <c r="I71" s="686"/>
      <c r="J71" s="686"/>
      <c r="K71" s="686"/>
      <c r="L71" s="687"/>
      <c r="M71" s="688"/>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4"/>
      <c r="B72" s="675"/>
      <c r="C72" s="689"/>
      <c r="D72" s="668"/>
      <c r="E72" s="668"/>
      <c r="F72" s="668"/>
      <c r="G72" s="668"/>
      <c r="H72" s="668"/>
      <c r="I72" s="668"/>
      <c r="J72" s="668"/>
      <c r="K72" s="668"/>
      <c r="L72" s="668"/>
      <c r="M72" s="669"/>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4"/>
      <c r="B73" s="670">
        <f>B13</f>
        <v>111</v>
      </c>
      <c r="C73" s="685"/>
      <c r="D73" s="685"/>
      <c r="E73" s="685"/>
      <c r="F73" s="685"/>
      <c r="G73" s="685"/>
      <c r="H73" s="686"/>
      <c r="I73" s="686"/>
      <c r="J73" s="686"/>
      <c r="K73" s="686"/>
      <c r="L73" s="687"/>
      <c r="M73" s="688"/>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4"/>
      <c r="B74" s="675"/>
      <c r="C74" s="689"/>
      <c r="D74" s="689"/>
      <c r="E74" s="689"/>
      <c r="F74" s="689"/>
      <c r="G74" s="689"/>
      <c r="H74" s="690"/>
      <c r="I74" s="690"/>
      <c r="J74" s="690"/>
      <c r="K74" s="690"/>
      <c r="L74" s="690"/>
      <c r="M74" s="691"/>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4"/>
      <c r="B75" s="678">
        <f>B14</f>
        <v>111</v>
      </c>
      <c r="C75" s="658"/>
      <c r="D75" s="658"/>
      <c r="E75" s="658"/>
      <c r="F75" s="658"/>
      <c r="G75" s="658"/>
      <c r="H75" s="692"/>
      <c r="I75" s="692"/>
      <c r="J75" s="692"/>
      <c r="K75" s="692"/>
      <c r="L75" s="693"/>
      <c r="M75" s="694"/>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5"/>
      <c r="B76" s="696"/>
      <c r="C76" s="697"/>
      <c r="D76" s="697"/>
      <c r="E76" s="697"/>
      <c r="F76" s="697"/>
      <c r="G76" s="697"/>
      <c r="H76" s="698"/>
      <c r="I76" s="698"/>
      <c r="J76" s="698"/>
      <c r="K76" s="698"/>
      <c r="L76" s="698"/>
      <c r="M76" s="699"/>
      <c r="N76" s="2165"/>
      <c r="O76" s="2165"/>
      <c r="P76" s="2213"/>
      <c r="Q76" s="2167"/>
      <c r="R76" s="2168"/>
      <c r="S76" s="2168"/>
      <c r="T76" s="2168"/>
      <c r="U76" s="2168"/>
      <c r="V76" s="2168"/>
      <c r="W76" s="2168"/>
      <c r="X76" s="2168"/>
      <c r="Y76" s="2168"/>
      <c r="Z76" s="2168"/>
      <c r="AA76" s="2168"/>
      <c r="AB76" s="2168"/>
      <c r="AC76" s="2168"/>
    </row>
    <row r="77" spans="1:29">
      <c r="A77" s="661" t="s">
        <v>540</v>
      </c>
      <c r="B77" s="662" t="s">
        <v>586</v>
      </c>
      <c r="C77" s="700" t="s">
        <v>580</v>
      </c>
      <c r="D77" s="700" t="s">
        <v>581</v>
      </c>
      <c r="E77" s="700" t="s">
        <v>582</v>
      </c>
      <c r="F77" s="700" t="s">
        <v>583</v>
      </c>
      <c r="G77" s="700" t="s">
        <v>584</v>
      </c>
      <c r="H77" s="701"/>
      <c r="I77" s="701"/>
      <c r="J77" s="701"/>
      <c r="K77" s="702"/>
      <c r="L77" s="703"/>
      <c r="M77" s="704"/>
      <c r="N77" s="2162"/>
      <c r="O77" s="2162"/>
      <c r="P77" s="2216"/>
      <c r="Q77" s="2156"/>
      <c r="R77" s="2143"/>
      <c r="S77" s="2143"/>
      <c r="T77" s="2143"/>
      <c r="U77" s="2143"/>
      <c r="V77" s="2143"/>
      <c r="W77" s="2143"/>
      <c r="X77" s="2143"/>
      <c r="Y77" s="2143"/>
      <c r="Z77" s="2143"/>
      <c r="AA77" s="2143"/>
      <c r="AB77" s="2143"/>
      <c r="AC77" s="2143"/>
    </row>
    <row r="78" spans="1:29" ht="15.75" thickBot="1">
      <c r="A78" s="666"/>
      <c r="B78" s="675"/>
      <c r="C78" s="676">
        <v>100</v>
      </c>
      <c r="D78" s="676">
        <f>C78-$K15</f>
        <v>97</v>
      </c>
      <c r="E78" s="676">
        <f>D78-$K15</f>
        <v>94</v>
      </c>
      <c r="F78" s="676">
        <f>E78-$K15</f>
        <v>91</v>
      </c>
      <c r="G78" s="676">
        <f>F78-$K15</f>
        <v>88</v>
      </c>
      <c r="H78" s="676"/>
      <c r="I78" s="676"/>
      <c r="J78" s="676"/>
      <c r="K78" s="676"/>
      <c r="L78" s="676"/>
      <c r="M78" s="677"/>
      <c r="N78" s="2164"/>
      <c r="O78" s="2164"/>
      <c r="P78" s="2212"/>
      <c r="Q78" s="2156"/>
      <c r="R78" s="2143"/>
      <c r="S78" s="2143"/>
      <c r="T78" s="2143"/>
      <c r="U78" s="2143"/>
      <c r="V78" s="2143"/>
      <c r="W78" s="2143"/>
      <c r="X78" s="2143"/>
      <c r="Y78" s="2143"/>
      <c r="Z78" s="2143"/>
      <c r="AA78" s="2143"/>
      <c r="AB78" s="2143"/>
      <c r="AC78" s="2143"/>
    </row>
    <row r="79" spans="1:29" ht="15.75" thickTop="1">
      <c r="A79" s="666"/>
      <c r="B79" s="670" t="s">
        <v>587</v>
      </c>
      <c r="C79" s="705" t="s">
        <v>580</v>
      </c>
      <c r="D79" s="705" t="s">
        <v>581</v>
      </c>
      <c r="E79" s="705" t="s">
        <v>582</v>
      </c>
      <c r="F79" s="705" t="s">
        <v>583</v>
      </c>
      <c r="G79" s="705" t="s">
        <v>584</v>
      </c>
      <c r="H79" s="671"/>
      <c r="I79" s="671"/>
      <c r="J79" s="671"/>
      <c r="K79" s="672"/>
      <c r="L79" s="673"/>
      <c r="M79" s="674"/>
      <c r="N79" s="2162"/>
      <c r="O79" s="2162"/>
      <c r="P79" s="2212"/>
      <c r="Q79" s="2156"/>
      <c r="R79" s="2143"/>
      <c r="S79" s="2143"/>
      <c r="T79" s="2143"/>
      <c r="U79" s="2143"/>
      <c r="V79" s="2143"/>
      <c r="W79" s="2143"/>
      <c r="X79" s="2143"/>
      <c r="Y79" s="2143"/>
      <c r="Z79" s="2143"/>
      <c r="AA79" s="2143"/>
      <c r="AB79" s="2143"/>
      <c r="AC79" s="2143"/>
    </row>
    <row r="80" spans="1:29" ht="15.75" thickBot="1">
      <c r="A80" s="666"/>
      <c r="B80" s="675"/>
      <c r="C80" s="676">
        <v>100</v>
      </c>
      <c r="D80" s="676">
        <f>C80-$K17</f>
        <v>98</v>
      </c>
      <c r="E80" s="676">
        <f>D80-$K17</f>
        <v>96</v>
      </c>
      <c r="F80" s="676">
        <f>E80-$K17</f>
        <v>94</v>
      </c>
      <c r="G80" s="676">
        <f>F80-$K17</f>
        <v>92</v>
      </c>
      <c r="H80" s="676"/>
      <c r="I80" s="676"/>
      <c r="J80" s="676"/>
      <c r="K80" s="676"/>
      <c r="L80" s="676"/>
      <c r="M80" s="677"/>
      <c r="N80" s="2164"/>
      <c r="O80" s="2164"/>
      <c r="P80" s="2212"/>
      <c r="Q80" s="2156"/>
      <c r="R80" s="2143"/>
      <c r="S80" s="2143"/>
      <c r="T80" s="2143"/>
      <c r="U80" s="2143"/>
      <c r="V80" s="2143"/>
      <c r="W80" s="2143"/>
      <c r="X80" s="2143"/>
      <c r="Y80" s="2143"/>
      <c r="Z80" s="2143"/>
      <c r="AA80" s="2143"/>
      <c r="AB80" s="2143"/>
      <c r="AC80" s="2143"/>
    </row>
    <row r="81" spans="1:29" ht="15.75" thickTop="1">
      <c r="A81" s="666"/>
      <c r="B81" s="1894" t="s">
        <v>2564</v>
      </c>
      <c r="C81" s="705" t="s">
        <v>580</v>
      </c>
      <c r="D81" s="705" t="s">
        <v>581</v>
      </c>
      <c r="E81" s="705" t="s">
        <v>582</v>
      </c>
      <c r="F81" s="705" t="s">
        <v>583</v>
      </c>
      <c r="G81" s="705" t="s">
        <v>584</v>
      </c>
      <c r="H81" s="671"/>
      <c r="I81" s="671"/>
      <c r="J81" s="671"/>
      <c r="K81" s="672"/>
      <c r="L81" s="673"/>
      <c r="M81" s="674"/>
      <c r="N81" s="2162"/>
      <c r="O81" s="2162"/>
      <c r="P81" s="2212"/>
      <c r="Q81" s="2156"/>
      <c r="R81" s="2143"/>
      <c r="S81" s="2143"/>
      <c r="T81" s="2143"/>
      <c r="U81" s="2143"/>
      <c r="V81" s="2143"/>
      <c r="W81" s="2143"/>
      <c r="X81" s="2143"/>
      <c r="Y81" s="2143"/>
      <c r="Z81" s="2143"/>
      <c r="AA81" s="2143"/>
      <c r="AB81" s="2143"/>
      <c r="AC81" s="2143"/>
    </row>
    <row r="82" spans="1:29" ht="15.75" thickBot="1">
      <c r="A82" s="666"/>
      <c r="B82" s="675"/>
      <c r="C82" s="676">
        <v>100</v>
      </c>
      <c r="D82" s="676">
        <f>C82-$K19</f>
        <v>99</v>
      </c>
      <c r="E82" s="676">
        <f>D82-$K19</f>
        <v>98</v>
      </c>
      <c r="F82" s="676">
        <f>E82-$K19</f>
        <v>97</v>
      </c>
      <c r="G82" s="676">
        <f>F82-$K19</f>
        <v>96</v>
      </c>
      <c r="H82" s="676"/>
      <c r="I82" s="676"/>
      <c r="J82" s="676"/>
      <c r="K82" s="676"/>
      <c r="L82" s="676"/>
      <c r="M82" s="677"/>
      <c r="N82" s="2164"/>
      <c r="O82" s="2164"/>
      <c r="P82" s="2212"/>
      <c r="Q82" s="2156"/>
      <c r="R82" s="2143"/>
      <c r="S82" s="2143"/>
      <c r="T82" s="2143"/>
      <c r="U82" s="2143"/>
      <c r="V82" s="2143"/>
      <c r="W82" s="2143"/>
      <c r="X82" s="2143"/>
      <c r="Y82" s="2143"/>
      <c r="Z82" s="2143"/>
      <c r="AA82" s="2143"/>
      <c r="AB82" s="2143"/>
      <c r="AC82" s="2143"/>
    </row>
    <row r="83" spans="1:29" ht="15.75" thickTop="1">
      <c r="A83" s="666"/>
      <c r="B83" s="2619" t="s">
        <v>2565</v>
      </c>
      <c r="C83" s="2620" t="s">
        <v>2566</v>
      </c>
      <c r="D83" s="2620" t="s">
        <v>2567</v>
      </c>
      <c r="E83" s="2620" t="s">
        <v>2568</v>
      </c>
      <c r="F83" s="2620" t="s">
        <v>2569</v>
      </c>
      <c r="G83" s="2620" t="s">
        <v>2570</v>
      </c>
      <c r="H83" s="671"/>
      <c r="I83" s="671"/>
      <c r="J83" s="671"/>
      <c r="K83" s="671"/>
      <c r="L83" s="671"/>
      <c r="M83" s="2623"/>
      <c r="N83" s="2164"/>
      <c r="O83" s="2164"/>
      <c r="P83" s="2212"/>
      <c r="Q83" s="2156"/>
      <c r="R83" s="2143"/>
      <c r="S83" s="2143"/>
      <c r="T83" s="2143"/>
      <c r="U83" s="2143"/>
      <c r="V83" s="2143"/>
      <c r="W83" s="2143"/>
      <c r="X83" s="2143"/>
      <c r="Y83" s="2143"/>
      <c r="Z83" s="2143"/>
      <c r="AA83" s="2143"/>
      <c r="AB83" s="2143"/>
      <c r="AC83" s="2143"/>
    </row>
    <row r="84" spans="1:29" ht="15.75" thickBot="1">
      <c r="A84" s="666"/>
      <c r="B84" s="678"/>
      <c r="C84" s="676">
        <v>100</v>
      </c>
      <c r="D84" s="676">
        <f>C84-$K21</f>
        <v>99</v>
      </c>
      <c r="E84" s="676">
        <f>D84-$K21</f>
        <v>98</v>
      </c>
      <c r="F84" s="676">
        <f>E84-$K21</f>
        <v>97</v>
      </c>
      <c r="G84" s="676">
        <f>F84-$K21</f>
        <v>96</v>
      </c>
      <c r="H84" s="931"/>
      <c r="I84" s="931"/>
      <c r="J84" s="931"/>
      <c r="K84" s="931"/>
      <c r="L84" s="931"/>
      <c r="M84" s="556"/>
      <c r="N84" s="2164"/>
      <c r="O84" s="2164"/>
      <c r="P84" s="2212"/>
      <c r="Q84" s="2156"/>
      <c r="R84" s="2143"/>
      <c r="S84" s="2143"/>
      <c r="T84" s="2143"/>
      <c r="U84" s="2143"/>
      <c r="V84" s="2143"/>
      <c r="W84" s="2143"/>
      <c r="X84" s="2143"/>
      <c r="Y84" s="2143"/>
      <c r="Z84" s="2143"/>
      <c r="AA84" s="2143"/>
      <c r="AB84" s="2143"/>
      <c r="AC84" s="2143"/>
    </row>
    <row r="85" spans="1:29" ht="15.75" thickTop="1">
      <c r="A85" s="666"/>
      <c r="B85" s="670" t="s">
        <v>785</v>
      </c>
      <c r="C85" s="705" t="s">
        <v>580</v>
      </c>
      <c r="D85" s="705" t="s">
        <v>581</v>
      </c>
      <c r="E85" s="705" t="s">
        <v>582</v>
      </c>
      <c r="F85" s="705" t="s">
        <v>583</v>
      </c>
      <c r="G85" s="705" t="s">
        <v>584</v>
      </c>
      <c r="H85" s="671"/>
      <c r="I85" s="671"/>
      <c r="J85" s="671"/>
      <c r="K85" s="672"/>
      <c r="L85" s="673"/>
      <c r="M85" s="674"/>
      <c r="N85" s="2162"/>
      <c r="O85" s="2162"/>
      <c r="P85" s="2212"/>
      <c r="Q85" s="2156"/>
      <c r="R85" s="2143"/>
      <c r="S85" s="2143"/>
      <c r="T85" s="2143"/>
      <c r="U85" s="2143"/>
      <c r="V85" s="2143"/>
      <c r="W85" s="2143"/>
      <c r="X85" s="2143"/>
      <c r="Y85" s="2143"/>
      <c r="Z85" s="2143"/>
      <c r="AA85" s="2143"/>
      <c r="AB85" s="2143"/>
      <c r="AC85" s="2143"/>
    </row>
    <row r="86" spans="1:29" ht="15.75" thickBot="1">
      <c r="A86" s="666"/>
      <c r="B86" s="675"/>
      <c r="C86" s="676">
        <v>100</v>
      </c>
      <c r="D86" s="676">
        <f>C86-$K23</f>
        <v>98</v>
      </c>
      <c r="E86" s="676">
        <f>D86-$K23</f>
        <v>96</v>
      </c>
      <c r="F86" s="676">
        <f>E86-$K23</f>
        <v>94</v>
      </c>
      <c r="G86" s="676">
        <f>F86-$K23</f>
        <v>92</v>
      </c>
      <c r="H86" s="676"/>
      <c r="I86" s="676"/>
      <c r="J86" s="676"/>
      <c r="K86" s="676"/>
      <c r="L86" s="676"/>
      <c r="M86" s="677"/>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6"/>
      <c r="B87" s="670" t="s">
        <v>786</v>
      </c>
      <c r="C87" s="685"/>
      <c r="D87" s="685"/>
      <c r="E87" s="685"/>
      <c r="F87" s="685"/>
      <c r="G87" s="685"/>
      <c r="H87" s="685"/>
      <c r="I87" s="685"/>
      <c r="J87" s="685"/>
      <c r="K87" s="685"/>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6"/>
      <c r="B88" s="675"/>
      <c r="C88" s="709">
        <v>100</v>
      </c>
      <c r="D88" s="676">
        <f t="shared" ref="D88:M88" si="19">C88-$K25</f>
        <v>99</v>
      </c>
      <c r="E88" s="676">
        <f t="shared" si="19"/>
        <v>98</v>
      </c>
      <c r="F88" s="676">
        <f t="shared" si="19"/>
        <v>97</v>
      </c>
      <c r="G88" s="676">
        <f t="shared" si="19"/>
        <v>96</v>
      </c>
      <c r="H88" s="676">
        <f t="shared" si="19"/>
        <v>95</v>
      </c>
      <c r="I88" s="676">
        <f t="shared" si="19"/>
        <v>94</v>
      </c>
      <c r="J88" s="676">
        <f t="shared" si="19"/>
        <v>93</v>
      </c>
      <c r="K88" s="676">
        <f t="shared" si="19"/>
        <v>92</v>
      </c>
      <c r="L88" s="676">
        <f t="shared" si="19"/>
        <v>91</v>
      </c>
      <c r="M88" s="676">
        <f t="shared" si="19"/>
        <v>90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6"/>
      <c r="B89" s="670" t="str">
        <f>B27</f>
        <v>楼层</v>
      </c>
      <c r="C89" s="685"/>
      <c r="D89" s="685"/>
      <c r="E89" s="685"/>
      <c r="F89" s="888"/>
      <c r="G89" s="685"/>
      <c r="H89" s="685"/>
      <c r="I89" s="685"/>
      <c r="J89" s="685"/>
      <c r="K89" s="685"/>
      <c r="L89" s="685"/>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4"/>
      <c r="B91" s="670" t="str">
        <f>B28</f>
        <v>朝向</v>
      </c>
      <c r="C91" s="685"/>
      <c r="D91" s="685"/>
      <c r="E91" s="685"/>
      <c r="F91" s="685"/>
      <c r="G91" s="685"/>
      <c r="H91" s="686"/>
      <c r="I91" s="686"/>
      <c r="J91" s="686"/>
      <c r="K91" s="686"/>
      <c r="L91" s="687"/>
      <c r="M91" s="688"/>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6"/>
      <c r="B93" s="670">
        <f>B29</f>
        <v>111</v>
      </c>
      <c r="C93" s="685"/>
      <c r="D93" s="685"/>
      <c r="E93" s="685"/>
      <c r="F93" s="685"/>
      <c r="G93" s="685"/>
      <c r="H93" s="685"/>
      <c r="I93" s="685"/>
      <c r="J93" s="685"/>
      <c r="K93" s="685"/>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68"/>
      <c r="H94" s="668"/>
      <c r="I94" s="668"/>
      <c r="J94" s="668"/>
      <c r="K94" s="668"/>
      <c r="L94" s="668"/>
      <c r="M94" s="669"/>
      <c r="N94" s="2164"/>
      <c r="O94" s="2164"/>
      <c r="P94" s="2212"/>
      <c r="Q94" s="2156"/>
      <c r="R94" s="2143"/>
      <c r="S94" s="2143"/>
      <c r="T94" s="2143"/>
      <c r="U94" s="2143"/>
      <c r="V94" s="2143"/>
      <c r="W94" s="2143"/>
      <c r="X94" s="2143"/>
      <c r="Y94" s="2143"/>
      <c r="Z94" s="2143"/>
      <c r="AA94" s="2143"/>
      <c r="AB94" s="2143"/>
      <c r="AC94" s="2143"/>
    </row>
    <row r="95" spans="1:29" ht="15.75" thickTop="1">
      <c r="A95" s="666"/>
      <c r="B95" s="670">
        <f>B30</f>
        <v>111</v>
      </c>
      <c r="C95" s="685"/>
      <c r="D95" s="685"/>
      <c r="E95" s="685"/>
      <c r="F95" s="685"/>
      <c r="G95" s="715"/>
      <c r="H95" s="715"/>
      <c r="I95" s="715"/>
      <c r="J95" s="715"/>
      <c r="K95" s="716"/>
      <c r="L95" s="717"/>
      <c r="M95" s="718"/>
      <c r="N95" s="2162"/>
      <c r="O95" s="2162"/>
      <c r="P95" s="2212"/>
      <c r="Q95" s="2156"/>
      <c r="R95" s="2143"/>
      <c r="S95" s="2143"/>
      <c r="T95" s="2143"/>
      <c r="U95" s="2143"/>
      <c r="V95" s="2143"/>
      <c r="W95" s="2143"/>
      <c r="X95" s="2143"/>
      <c r="Y95" s="2143"/>
      <c r="Z95" s="2143"/>
      <c r="AA95" s="2143"/>
      <c r="AB95" s="2143"/>
      <c r="AC95" s="2143"/>
    </row>
    <row r="96" spans="1:29" ht="15.75" thickBot="1">
      <c r="A96" s="666"/>
      <c r="B96" s="675"/>
      <c r="C96" s="689"/>
      <c r="D96" s="689"/>
      <c r="E96" s="689"/>
      <c r="F96" s="689"/>
      <c r="G96" s="668"/>
      <c r="H96" s="668"/>
      <c r="I96" s="668"/>
      <c r="J96" s="668"/>
      <c r="K96" s="668"/>
      <c r="L96" s="668"/>
      <c r="M96" s="669"/>
      <c r="N96" s="2164"/>
      <c r="O96" s="2164"/>
      <c r="P96" s="2212"/>
      <c r="Q96" s="2156"/>
      <c r="R96" s="2143"/>
      <c r="S96" s="2143"/>
      <c r="T96" s="2143"/>
      <c r="U96" s="2143"/>
      <c r="V96" s="2143"/>
      <c r="W96" s="2143"/>
      <c r="X96" s="2143"/>
      <c r="Y96" s="2143"/>
      <c r="Z96" s="2143"/>
      <c r="AA96" s="2143"/>
      <c r="AB96" s="2143"/>
      <c r="AC96" s="2143"/>
    </row>
    <row r="97" spans="1:29" ht="15.75" thickTop="1">
      <c r="A97" s="666"/>
      <c r="B97" s="670">
        <f>B31</f>
        <v>111</v>
      </c>
      <c r="C97" s="685"/>
      <c r="D97" s="685"/>
      <c r="E97" s="685"/>
      <c r="F97" s="685"/>
      <c r="G97" s="715"/>
      <c r="H97" s="715"/>
      <c r="I97" s="715"/>
      <c r="J97" s="715"/>
      <c r="K97" s="716"/>
      <c r="L97" s="717"/>
      <c r="M97" s="718"/>
      <c r="N97" s="2162"/>
      <c r="O97" s="2162"/>
      <c r="P97" s="2212"/>
      <c r="Q97" s="2156"/>
      <c r="R97" s="2143"/>
      <c r="S97" s="2143"/>
      <c r="T97" s="2143"/>
      <c r="U97" s="2143"/>
      <c r="V97" s="2143"/>
      <c r="W97" s="2143"/>
      <c r="X97" s="2143"/>
      <c r="Y97" s="2143"/>
      <c r="Z97" s="2143"/>
      <c r="AA97" s="2143"/>
      <c r="AB97" s="2143"/>
      <c r="AC97" s="2143"/>
    </row>
    <row r="98" spans="1:29" ht="15.75" thickBot="1">
      <c r="A98" s="666"/>
      <c r="B98" s="675"/>
      <c r="C98" s="689"/>
      <c r="D98" s="668"/>
      <c r="E98" s="668"/>
      <c r="F98" s="668"/>
      <c r="G98" s="668"/>
      <c r="H98" s="668"/>
      <c r="I98" s="668"/>
      <c r="J98" s="668"/>
      <c r="K98" s="668"/>
      <c r="L98" s="668"/>
      <c r="M98" s="669"/>
      <c r="N98" s="2164"/>
      <c r="O98" s="2164"/>
      <c r="P98" s="2212"/>
      <c r="Q98" s="2156"/>
      <c r="R98" s="2143"/>
      <c r="S98" s="2143"/>
      <c r="T98" s="2143"/>
      <c r="U98" s="2143"/>
      <c r="V98" s="2143"/>
      <c r="W98" s="2143"/>
      <c r="X98" s="2143"/>
      <c r="Y98" s="2143"/>
      <c r="Z98" s="2143"/>
      <c r="AA98" s="2143"/>
      <c r="AB98" s="2143"/>
      <c r="AC98" s="2143"/>
    </row>
    <row r="99" spans="1:29" ht="15.75" thickTop="1">
      <c r="A99" s="666"/>
      <c r="B99" s="678">
        <f>B32</f>
        <v>111</v>
      </c>
      <c r="C99" s="658"/>
      <c r="D99" s="658"/>
      <c r="E99" s="658"/>
      <c r="F99" s="658"/>
      <c r="G99" s="719"/>
      <c r="H99" s="719"/>
      <c r="I99" s="719"/>
      <c r="J99" s="719"/>
      <c r="K99" s="720"/>
      <c r="L99" s="721"/>
      <c r="M99" s="722"/>
      <c r="N99" s="2162"/>
      <c r="O99" s="2162"/>
      <c r="P99" s="2212"/>
      <c r="Q99" s="2156"/>
      <c r="R99" s="2143"/>
      <c r="S99" s="2143"/>
      <c r="T99" s="2143"/>
      <c r="U99" s="2143"/>
      <c r="V99" s="2143"/>
      <c r="W99" s="2143"/>
      <c r="X99" s="2143"/>
      <c r="Y99" s="2143"/>
      <c r="Z99" s="2143"/>
      <c r="AA99" s="2143"/>
      <c r="AB99" s="2143"/>
      <c r="AC99" s="2143"/>
    </row>
    <row r="100" spans="1:29" ht="15.75" thickBot="1">
      <c r="A100" s="889"/>
      <c r="B100" s="696"/>
      <c r="C100" s="697"/>
      <c r="D100" s="697"/>
      <c r="E100" s="697"/>
      <c r="F100" s="697"/>
      <c r="G100" s="723"/>
      <c r="H100" s="723"/>
      <c r="I100" s="723"/>
      <c r="J100" s="723"/>
      <c r="K100" s="723"/>
      <c r="L100" s="723"/>
      <c r="M100" s="724"/>
      <c r="N100" s="2164"/>
      <c r="O100" s="2164"/>
      <c r="P100" s="2212"/>
      <c r="Q100" s="2156"/>
      <c r="R100" s="2143"/>
      <c r="S100" s="2143"/>
      <c r="T100" s="2143"/>
      <c r="U100" s="2143"/>
      <c r="V100" s="2143"/>
      <c r="W100" s="2143"/>
      <c r="X100" s="2143"/>
      <c r="Y100" s="2143"/>
      <c r="Z100" s="2143"/>
      <c r="AA100" s="2143"/>
      <c r="AB100" s="2143"/>
      <c r="AC100" s="2143"/>
    </row>
    <row r="101" spans="1:29">
      <c r="A101" s="661" t="s">
        <v>552</v>
      </c>
      <c r="B101" s="662" t="s">
        <v>748</v>
      </c>
      <c r="C101" s="595"/>
      <c r="D101" s="595"/>
      <c r="E101" s="595"/>
      <c r="F101" s="595"/>
      <c r="G101" s="595"/>
      <c r="H101" s="595"/>
      <c r="I101" s="595"/>
      <c r="J101" s="595"/>
      <c r="K101" s="663"/>
      <c r="L101" s="664"/>
      <c r="M101" s="665"/>
      <c r="N101" s="2162"/>
      <c r="O101" s="2162"/>
      <c r="P101" s="2212"/>
      <c r="Q101" s="2156"/>
      <c r="R101" s="2143"/>
      <c r="S101" s="2143"/>
      <c r="T101" s="2143"/>
      <c r="U101" s="2143"/>
      <c r="V101" s="2143"/>
      <c r="W101" s="2143"/>
      <c r="X101" s="2143"/>
      <c r="Y101" s="2143"/>
      <c r="Z101" s="2143"/>
      <c r="AA101" s="2143"/>
      <c r="AB101" s="2143"/>
      <c r="AC101" s="2143"/>
    </row>
    <row r="102" spans="1:29" ht="15.75" thickBot="1">
      <c r="A102" s="666"/>
      <c r="B102" s="675"/>
      <c r="C102" s="676">
        <v>100</v>
      </c>
      <c r="D102" s="676">
        <f t="shared" ref="D102:M102" si="22">C102-$K33</f>
        <v>98</v>
      </c>
      <c r="E102" s="676">
        <f t="shared" si="22"/>
        <v>96</v>
      </c>
      <c r="F102" s="676">
        <f t="shared" si="22"/>
        <v>94</v>
      </c>
      <c r="G102" s="676">
        <f t="shared" si="22"/>
        <v>92</v>
      </c>
      <c r="H102" s="676">
        <f t="shared" si="22"/>
        <v>90</v>
      </c>
      <c r="I102" s="676">
        <f t="shared" si="22"/>
        <v>88</v>
      </c>
      <c r="J102" s="676">
        <f t="shared" si="22"/>
        <v>86</v>
      </c>
      <c r="K102" s="676">
        <f t="shared" si="22"/>
        <v>84</v>
      </c>
      <c r="L102" s="676">
        <f t="shared" si="22"/>
        <v>82</v>
      </c>
      <c r="M102" s="677">
        <f t="shared" si="22"/>
        <v>80</v>
      </c>
      <c r="N102" s="2164"/>
      <c r="O102" s="2164"/>
      <c r="P102" s="2212"/>
      <c r="Q102" s="2156"/>
      <c r="R102" s="2143"/>
      <c r="S102" s="2143"/>
      <c r="T102" s="2143"/>
      <c r="U102" s="2143"/>
      <c r="V102" s="2143"/>
      <c r="W102" s="2143"/>
      <c r="X102" s="2143"/>
      <c r="Y102" s="2143"/>
      <c r="Z102" s="2143"/>
      <c r="AA102" s="2143"/>
      <c r="AB102" s="2143"/>
      <c r="AC102" s="2143"/>
    </row>
    <row r="103" spans="1:29" ht="29.25" thickTop="1">
      <c r="A103" s="666"/>
      <c r="B103" s="670" t="s">
        <v>749</v>
      </c>
      <c r="C103" s="705" t="str">
        <f>C104&amp;"(含)"&amp;"-"&amp;D104</f>
        <v>0(含)-50000</v>
      </c>
      <c r="D103" s="705" t="str">
        <f t="shared" ref="D103:L103" si="23">D104&amp;"(含)"&amp;"-"&amp;E104</f>
        <v>50000(含)-100000</v>
      </c>
      <c r="E103" s="705" t="str">
        <f t="shared" si="23"/>
        <v>100000(含)-150000</v>
      </c>
      <c r="F103" s="705" t="str">
        <f t="shared" si="23"/>
        <v>150000(含)-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5"/>
      <c r="B104" s="726"/>
      <c r="C104" s="727">
        <v>0</v>
      </c>
      <c r="D104" s="727">
        <v>50000</v>
      </c>
      <c r="E104" s="727">
        <v>100000</v>
      </c>
      <c r="F104" s="727">
        <v>150000</v>
      </c>
      <c r="G104" s="727"/>
      <c r="H104" s="727"/>
      <c r="I104" s="727"/>
      <c r="J104" s="728"/>
      <c r="K104" s="728"/>
      <c r="L104" s="729"/>
      <c r="M104" s="730"/>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4"/>
      <c r="B105" s="675"/>
      <c r="C105" s="689">
        <v>100</v>
      </c>
      <c r="D105" s="668">
        <v>102</v>
      </c>
      <c r="E105" s="668">
        <v>104</v>
      </c>
      <c r="F105" s="668">
        <v>106</v>
      </c>
      <c r="G105" s="668"/>
      <c r="H105" s="668"/>
      <c r="I105" s="668"/>
      <c r="J105" s="668"/>
      <c r="K105" s="668"/>
      <c r="L105" s="668"/>
      <c r="M105" s="669"/>
      <c r="N105" s="2164"/>
      <c r="O105" s="2164"/>
      <c r="P105" s="2213"/>
      <c r="Q105" s="2167"/>
      <c r="R105" s="2168"/>
      <c r="S105" s="2168"/>
      <c r="T105" s="2168"/>
      <c r="U105" s="2168"/>
      <c r="V105" s="2168"/>
      <c r="W105" s="2168"/>
      <c r="X105" s="2168"/>
      <c r="Y105" s="2168"/>
      <c r="Z105" s="2168"/>
      <c r="AA105" s="2168"/>
      <c r="AB105" s="2168"/>
      <c r="AC105" s="2168"/>
    </row>
    <row r="106" spans="1:29" ht="15" thickTop="1">
      <c r="A106" s="732"/>
      <c r="B106" s="670" t="s">
        <v>750</v>
      </c>
      <c r="C106" s="685"/>
      <c r="D106" s="685"/>
      <c r="E106" s="715"/>
      <c r="F106" s="715"/>
      <c r="G106" s="715"/>
      <c r="H106" s="715"/>
      <c r="I106" s="715"/>
      <c r="J106" s="715"/>
      <c r="K106" s="716"/>
      <c r="L106" s="717"/>
      <c r="M106" s="718"/>
      <c r="N106" s="2162"/>
      <c r="O106" s="2162"/>
      <c r="P106" s="2212"/>
      <c r="Q106" s="2156"/>
      <c r="R106" s="2143"/>
      <c r="S106" s="2143"/>
      <c r="T106" s="2143"/>
      <c r="U106" s="2143"/>
      <c r="V106" s="2143"/>
      <c r="W106" s="2143"/>
      <c r="X106" s="2143"/>
      <c r="Y106" s="2143"/>
      <c r="Z106" s="2143"/>
      <c r="AA106" s="2143"/>
      <c r="AB106" s="2143"/>
      <c r="AC106" s="2143"/>
    </row>
    <row r="107" spans="1:29" ht="15.75" thickBot="1">
      <c r="A107" s="666"/>
      <c r="B107" s="675"/>
      <c r="C107" s="676">
        <v>100</v>
      </c>
      <c r="D107" s="676">
        <f t="shared" ref="D107:M107" si="24">C107-$K35</f>
        <v>98</v>
      </c>
      <c r="E107" s="676">
        <f t="shared" si="24"/>
        <v>96</v>
      </c>
      <c r="F107" s="676">
        <f t="shared" si="24"/>
        <v>94</v>
      </c>
      <c r="G107" s="676">
        <f t="shared" si="24"/>
        <v>92</v>
      </c>
      <c r="H107" s="676">
        <f t="shared" si="24"/>
        <v>90</v>
      </c>
      <c r="I107" s="676">
        <f t="shared" si="24"/>
        <v>88</v>
      </c>
      <c r="J107" s="676">
        <f t="shared" si="24"/>
        <v>86</v>
      </c>
      <c r="K107" s="676">
        <f t="shared" si="24"/>
        <v>84</v>
      </c>
      <c r="L107" s="676">
        <f t="shared" si="24"/>
        <v>82</v>
      </c>
      <c r="M107" s="677">
        <f t="shared" si="24"/>
        <v>80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2"/>
      <c r="B108" s="670" t="s">
        <v>752</v>
      </c>
      <c r="C108" s="685"/>
      <c r="D108" s="685"/>
      <c r="E108" s="685"/>
      <c r="F108" s="715"/>
      <c r="G108" s="715"/>
      <c r="H108" s="715"/>
      <c r="I108" s="715"/>
      <c r="J108" s="715"/>
      <c r="K108" s="716"/>
      <c r="L108" s="717"/>
      <c r="M108" s="718"/>
      <c r="N108" s="2162"/>
      <c r="O108" s="2162"/>
      <c r="P108" s="2212"/>
      <c r="Q108" s="2156"/>
      <c r="R108" s="2143"/>
      <c r="S108" s="2143"/>
      <c r="T108" s="2143"/>
      <c r="U108" s="2143"/>
      <c r="V108" s="2143"/>
      <c r="W108" s="2143"/>
      <c r="X108" s="2143"/>
      <c r="Y108" s="2143"/>
      <c r="Z108" s="2143"/>
      <c r="AA108" s="2143"/>
      <c r="AB108" s="2143"/>
      <c r="AC108" s="2143"/>
    </row>
    <row r="109" spans="1:29" ht="15.75" thickBot="1">
      <c r="A109" s="666"/>
      <c r="B109" s="675"/>
      <c r="C109" s="676">
        <v>100</v>
      </c>
      <c r="D109" s="676">
        <f t="shared" ref="D109:M109" si="25">C109-$K36</f>
        <v>99</v>
      </c>
      <c r="E109" s="676">
        <f t="shared" si="25"/>
        <v>98</v>
      </c>
      <c r="F109" s="676">
        <f t="shared" si="25"/>
        <v>97</v>
      </c>
      <c r="G109" s="676">
        <f t="shared" si="25"/>
        <v>96</v>
      </c>
      <c r="H109" s="676">
        <f t="shared" si="25"/>
        <v>95</v>
      </c>
      <c r="I109" s="676">
        <f t="shared" si="25"/>
        <v>94</v>
      </c>
      <c r="J109" s="676">
        <f t="shared" si="25"/>
        <v>93</v>
      </c>
      <c r="K109" s="676">
        <f t="shared" si="25"/>
        <v>92</v>
      </c>
      <c r="L109" s="676">
        <f t="shared" si="25"/>
        <v>91</v>
      </c>
      <c r="M109" s="677">
        <f t="shared" si="25"/>
        <v>90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2"/>
      <c r="O110" s="2162"/>
      <c r="P110" s="2212"/>
      <c r="Q110" s="2156"/>
      <c r="R110" s="2143"/>
      <c r="S110" s="2143"/>
      <c r="T110" s="2143"/>
      <c r="U110" s="2143"/>
      <c r="V110" s="2143"/>
      <c r="W110" s="2143"/>
      <c r="X110" s="2143"/>
      <c r="Y110" s="2143"/>
      <c r="Z110" s="2143"/>
      <c r="AA110" s="2143"/>
      <c r="AB110" s="2143"/>
      <c r="AC110" s="2143"/>
    </row>
    <row r="111" spans="1:29">
      <c r="A111" s="732"/>
      <c r="B111" s="678"/>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6"/>
      <c r="B112" s="675"/>
      <c r="C112" s="709">
        <v>100</v>
      </c>
      <c r="D112" s="676">
        <f>C112+$K37</f>
        <v>102</v>
      </c>
      <c r="E112" s="676">
        <f t="shared" ref="E112:M112" si="26">D112+$K37</f>
        <v>104</v>
      </c>
      <c r="F112" s="676">
        <f t="shared" si="26"/>
        <v>106</v>
      </c>
      <c r="G112" s="676">
        <f t="shared" si="26"/>
        <v>108</v>
      </c>
      <c r="H112" s="676">
        <f t="shared" si="26"/>
        <v>110</v>
      </c>
      <c r="I112" s="676">
        <f t="shared" si="26"/>
        <v>112</v>
      </c>
      <c r="J112" s="676">
        <f t="shared" si="26"/>
        <v>114</v>
      </c>
      <c r="K112" s="676">
        <f t="shared" si="26"/>
        <v>116</v>
      </c>
      <c r="L112" s="676">
        <f t="shared" si="26"/>
        <v>118</v>
      </c>
      <c r="M112" s="676">
        <f t="shared" si="26"/>
        <v>120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5"/>
      <c r="B113" s="670" t="s">
        <v>787</v>
      </c>
      <c r="C113" s="685"/>
      <c r="D113" s="685"/>
      <c r="E113" s="685"/>
      <c r="F113" s="685"/>
      <c r="G113" s="685"/>
      <c r="H113" s="715"/>
      <c r="I113" s="715"/>
      <c r="J113" s="715"/>
      <c r="K113" s="716"/>
      <c r="L113" s="717"/>
      <c r="M113" s="718"/>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4"/>
      <c r="B114" s="675"/>
      <c r="C114" s="676">
        <v>100</v>
      </c>
      <c r="D114" s="676">
        <f>C114-$K38</f>
        <v>99</v>
      </c>
      <c r="E114" s="676">
        <f t="shared" ref="E114:M114" si="27">D114-$K38</f>
        <v>98</v>
      </c>
      <c r="F114" s="676">
        <f t="shared" si="27"/>
        <v>97</v>
      </c>
      <c r="G114" s="676">
        <f t="shared" si="27"/>
        <v>96</v>
      </c>
      <c r="H114" s="676">
        <f t="shared" si="27"/>
        <v>95</v>
      </c>
      <c r="I114" s="676">
        <f t="shared" si="27"/>
        <v>94</v>
      </c>
      <c r="J114" s="676">
        <f t="shared" si="27"/>
        <v>93</v>
      </c>
      <c r="K114" s="676">
        <f t="shared" si="27"/>
        <v>92</v>
      </c>
      <c r="L114" s="676">
        <f t="shared" si="27"/>
        <v>91</v>
      </c>
      <c r="M114" s="676">
        <f t="shared" si="27"/>
        <v>90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2"/>
      <c r="B115" s="670" t="s">
        <v>754</v>
      </c>
      <c r="C115" s="685"/>
      <c r="D115" s="685"/>
      <c r="E115" s="715"/>
      <c r="F115" s="715"/>
      <c r="G115" s="715"/>
      <c r="H115" s="715"/>
      <c r="I115" s="715"/>
      <c r="J115" s="715"/>
      <c r="K115" s="716"/>
      <c r="L115" s="717"/>
      <c r="M115" s="718"/>
      <c r="N115" s="2162"/>
      <c r="O115" s="2162"/>
      <c r="P115" s="2212"/>
      <c r="Q115" s="2156"/>
      <c r="R115" s="2143"/>
      <c r="S115" s="2143"/>
      <c r="T115" s="2143"/>
      <c r="U115" s="2143"/>
      <c r="V115" s="2143"/>
      <c r="W115" s="2143"/>
      <c r="X115" s="2143"/>
      <c r="Y115" s="2143"/>
      <c r="Z115" s="2143"/>
      <c r="AA115" s="2143"/>
      <c r="AB115" s="2143"/>
      <c r="AC115" s="2143"/>
    </row>
    <row r="116" spans="1:29" ht="15.75" thickBot="1">
      <c r="A116" s="666"/>
      <c r="B116" s="675"/>
      <c r="C116" s="676">
        <v>100</v>
      </c>
      <c r="D116" s="676">
        <f t="shared" ref="D116:M116" si="28">C116-$K39</f>
        <v>98</v>
      </c>
      <c r="E116" s="676">
        <f t="shared" si="28"/>
        <v>96</v>
      </c>
      <c r="F116" s="676">
        <f t="shared" si="28"/>
        <v>94</v>
      </c>
      <c r="G116" s="676">
        <f t="shared" si="28"/>
        <v>92</v>
      </c>
      <c r="H116" s="676">
        <f t="shared" si="28"/>
        <v>90</v>
      </c>
      <c r="I116" s="676">
        <f t="shared" si="28"/>
        <v>88</v>
      </c>
      <c r="J116" s="676">
        <f t="shared" si="28"/>
        <v>86</v>
      </c>
      <c r="K116" s="676">
        <f t="shared" si="28"/>
        <v>84</v>
      </c>
      <c r="L116" s="676">
        <f t="shared" si="28"/>
        <v>82</v>
      </c>
      <c r="M116" s="677">
        <f t="shared" si="28"/>
        <v>80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2"/>
      <c r="B117" s="1894" t="s">
        <v>2563</v>
      </c>
      <c r="C117" s="685"/>
      <c r="D117" s="685"/>
      <c r="E117" s="685"/>
      <c r="F117" s="685"/>
      <c r="G117" s="685"/>
      <c r="H117" s="715"/>
      <c r="I117" s="715"/>
      <c r="J117" s="715"/>
      <c r="K117" s="716"/>
      <c r="L117" s="717"/>
      <c r="M117" s="718"/>
      <c r="N117" s="2162"/>
      <c r="O117" s="2162"/>
      <c r="P117" s="2212"/>
      <c r="Q117" s="2156"/>
      <c r="R117" s="2143"/>
      <c r="S117" s="2143"/>
      <c r="T117" s="2143"/>
      <c r="U117" s="2143"/>
      <c r="V117" s="2143"/>
      <c r="W117" s="2143"/>
      <c r="X117" s="2143"/>
      <c r="Y117" s="2143"/>
      <c r="Z117" s="2143"/>
      <c r="AA117" s="2143"/>
      <c r="AB117" s="2143"/>
      <c r="AC117" s="2143"/>
    </row>
    <row r="118" spans="1:29" ht="15.75" thickBot="1">
      <c r="A118" s="666"/>
      <c r="B118" s="675"/>
      <c r="C118" s="676">
        <v>100</v>
      </c>
      <c r="D118" s="676">
        <f>C118-$K40</f>
        <v>99</v>
      </c>
      <c r="E118" s="676">
        <f>D118-$K40</f>
        <v>98</v>
      </c>
      <c r="F118" s="676">
        <f>E118-$K40</f>
        <v>97</v>
      </c>
      <c r="G118" s="676">
        <f>F118-$K40</f>
        <v>96</v>
      </c>
      <c r="H118" s="676"/>
      <c r="I118" s="676"/>
      <c r="J118" s="676"/>
      <c r="K118" s="676"/>
      <c r="L118" s="676"/>
      <c r="M118" s="677"/>
      <c r="N118" s="2164"/>
      <c r="O118" s="2164"/>
      <c r="P118" s="2212"/>
      <c r="Q118" s="2156"/>
      <c r="R118" s="2143"/>
      <c r="S118" s="2143"/>
      <c r="T118" s="2143"/>
      <c r="U118" s="2143"/>
      <c r="V118" s="2143"/>
      <c r="W118" s="2143"/>
      <c r="X118" s="2143"/>
      <c r="Y118" s="2143"/>
      <c r="Z118" s="2143"/>
      <c r="AA118" s="2143"/>
      <c r="AB118" s="2143"/>
      <c r="AC118" s="2143"/>
    </row>
    <row r="119" spans="1:29" ht="15" thickTop="1">
      <c r="A119" s="732"/>
      <c r="B119" s="913" t="s">
        <v>788</v>
      </c>
      <c r="C119" s="715"/>
      <c r="D119" s="715"/>
      <c r="E119" s="715"/>
      <c r="F119" s="715"/>
      <c r="G119" s="715"/>
      <c r="H119" s="715"/>
      <c r="I119" s="715"/>
      <c r="J119" s="715"/>
      <c r="K119" s="715"/>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6"/>
      <c r="B120" s="675"/>
      <c r="C120" s="709">
        <v>100</v>
      </c>
      <c r="D120" s="676">
        <f>C120-$K41</f>
        <v>98</v>
      </c>
      <c r="E120" s="676">
        <f t="shared" ref="E120:M120" si="29">D120-$K41</f>
        <v>96</v>
      </c>
      <c r="F120" s="676">
        <f t="shared" si="29"/>
        <v>94</v>
      </c>
      <c r="G120" s="676">
        <f t="shared" si="29"/>
        <v>92</v>
      </c>
      <c r="H120" s="676">
        <f t="shared" si="29"/>
        <v>90</v>
      </c>
      <c r="I120" s="676">
        <f t="shared" si="29"/>
        <v>88</v>
      </c>
      <c r="J120" s="676">
        <f t="shared" si="29"/>
        <v>86</v>
      </c>
      <c r="K120" s="676">
        <f t="shared" si="29"/>
        <v>84</v>
      </c>
      <c r="L120" s="676">
        <f t="shared" si="29"/>
        <v>82</v>
      </c>
      <c r="M120" s="676">
        <f t="shared" si="29"/>
        <v>80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5"/>
      <c r="B121" s="670" t="s">
        <v>776</v>
      </c>
      <c r="C121" s="685"/>
      <c r="D121" s="685"/>
      <c r="E121" s="685"/>
      <c r="F121" s="715"/>
      <c r="G121" s="686"/>
      <c r="H121" s="686"/>
      <c r="I121" s="686"/>
      <c r="J121" s="686"/>
      <c r="K121" s="686"/>
      <c r="L121" s="687"/>
      <c r="M121" s="688"/>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4"/>
      <c r="B122" s="667"/>
      <c r="C122" s="689"/>
      <c r="D122" s="689"/>
      <c r="E122" s="689"/>
      <c r="F122" s="689"/>
      <c r="G122" s="689"/>
      <c r="H122" s="689"/>
      <c r="I122" s="689"/>
      <c r="J122" s="689"/>
      <c r="K122" s="689"/>
      <c r="L122" s="689"/>
      <c r="M122" s="689"/>
      <c r="N122" s="2165"/>
      <c r="O122" s="2165"/>
      <c r="P122" s="2213"/>
      <c r="Q122" s="2167"/>
      <c r="R122" s="2168"/>
      <c r="S122" s="2168"/>
      <c r="T122" s="2168"/>
      <c r="U122" s="2168"/>
      <c r="V122" s="2168"/>
      <c r="W122" s="2168"/>
      <c r="X122" s="2168"/>
      <c r="Y122" s="2168"/>
      <c r="Z122" s="2168"/>
      <c r="AA122" s="2168"/>
      <c r="AB122" s="2168"/>
      <c r="AC122" s="2168"/>
    </row>
    <row r="123" spans="1:29" ht="15" thickTop="1">
      <c r="A123" s="732"/>
      <c r="B123" s="670" t="s">
        <v>756</v>
      </c>
      <c r="C123" s="685"/>
      <c r="D123" s="685"/>
      <c r="E123" s="685"/>
      <c r="F123" s="715"/>
      <c r="G123" s="715"/>
      <c r="H123" s="715"/>
      <c r="I123" s="715"/>
      <c r="J123" s="715"/>
      <c r="K123" s="716"/>
      <c r="L123" s="717"/>
      <c r="M123" s="718"/>
      <c r="N123" s="2162"/>
      <c r="O123" s="2162"/>
      <c r="P123" s="2212"/>
      <c r="Q123" s="2156"/>
      <c r="R123" s="2143"/>
      <c r="S123" s="2143"/>
      <c r="T123" s="2143"/>
      <c r="U123" s="2143"/>
      <c r="V123" s="2143"/>
      <c r="W123" s="2143"/>
      <c r="X123" s="2143"/>
      <c r="Y123" s="2143"/>
      <c r="Z123" s="2143"/>
      <c r="AA123" s="2143"/>
      <c r="AB123" s="2143"/>
      <c r="AC123" s="2143"/>
    </row>
    <row r="124" spans="1:29" ht="15.75" thickBot="1">
      <c r="A124" s="666"/>
      <c r="B124" s="675"/>
      <c r="C124" s="676">
        <v>100</v>
      </c>
      <c r="D124" s="676">
        <f t="shared" ref="D124:M124" si="30">C124-$K43</f>
        <v>98</v>
      </c>
      <c r="E124" s="676">
        <f t="shared" si="30"/>
        <v>96</v>
      </c>
      <c r="F124" s="676">
        <f t="shared" si="30"/>
        <v>94</v>
      </c>
      <c r="G124" s="676">
        <f t="shared" si="30"/>
        <v>92</v>
      </c>
      <c r="H124" s="676">
        <f t="shared" si="30"/>
        <v>90</v>
      </c>
      <c r="I124" s="676">
        <f t="shared" si="30"/>
        <v>88</v>
      </c>
      <c r="J124" s="676">
        <f t="shared" si="30"/>
        <v>86</v>
      </c>
      <c r="K124" s="676">
        <f t="shared" si="30"/>
        <v>84</v>
      </c>
      <c r="L124" s="676">
        <f t="shared" si="30"/>
        <v>82</v>
      </c>
      <c r="M124" s="677">
        <f t="shared" si="30"/>
        <v>80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62"/>
      <c r="O125" s="2162"/>
      <c r="P125" s="2213"/>
      <c r="Q125" s="2156"/>
      <c r="R125" s="2143"/>
      <c r="S125" s="2143"/>
      <c r="T125" s="2143"/>
      <c r="U125" s="2143"/>
      <c r="V125" s="2143"/>
      <c r="W125" s="2143"/>
      <c r="X125" s="2143"/>
      <c r="Y125" s="2143"/>
      <c r="Z125" s="2143"/>
      <c r="AA125" s="2143"/>
      <c r="AB125" s="2143"/>
      <c r="AC125" s="2143"/>
    </row>
    <row r="126" spans="1:29" ht="15.75" thickBot="1">
      <c r="A126" s="666"/>
      <c r="B126" s="675"/>
      <c r="C126" s="676">
        <v>100</v>
      </c>
      <c r="D126" s="676">
        <f>C126-$K44</f>
        <v>98</v>
      </c>
      <c r="E126" s="676">
        <f>D126-$K44</f>
        <v>96</v>
      </c>
      <c r="F126" s="676">
        <f>E126-$K44</f>
        <v>94</v>
      </c>
      <c r="G126" s="676">
        <f>F126-$K44</f>
        <v>92</v>
      </c>
      <c r="H126" s="676"/>
      <c r="I126" s="676"/>
      <c r="J126" s="676"/>
      <c r="K126" s="676"/>
      <c r="L126" s="676"/>
      <c r="M126" s="677"/>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5"/>
      <c r="B127" s="670">
        <f>B45</f>
        <v>111</v>
      </c>
      <c r="C127" s="685"/>
      <c r="D127" s="685"/>
      <c r="E127" s="685"/>
      <c r="F127" s="685"/>
      <c r="G127" s="685"/>
      <c r="H127" s="686"/>
      <c r="I127" s="686"/>
      <c r="J127" s="686"/>
      <c r="K127" s="686"/>
      <c r="L127" s="687"/>
      <c r="M127" s="688"/>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4"/>
      <c r="B128" s="675"/>
      <c r="C128" s="689"/>
      <c r="D128" s="668"/>
      <c r="E128" s="668"/>
      <c r="F128" s="668"/>
      <c r="G128" s="689"/>
      <c r="H128" s="690"/>
      <c r="I128" s="690"/>
      <c r="J128" s="690"/>
      <c r="K128" s="690"/>
      <c r="L128" s="690"/>
      <c r="M128" s="691"/>
      <c r="N128" s="2165"/>
      <c r="O128" s="2165"/>
      <c r="P128" s="2213"/>
      <c r="Q128" s="2167"/>
      <c r="R128" s="2168"/>
      <c r="S128" s="2168"/>
      <c r="T128" s="2168"/>
      <c r="U128" s="2168"/>
      <c r="V128" s="2168"/>
      <c r="W128" s="2168"/>
      <c r="X128" s="2168"/>
      <c r="Y128" s="2168"/>
      <c r="Z128" s="2168"/>
      <c r="AA128" s="2168"/>
      <c r="AB128" s="2168"/>
      <c r="AC128" s="2168"/>
    </row>
    <row r="129" spans="1:29" ht="15" thickTop="1">
      <c r="A129" s="732"/>
      <c r="B129" s="670">
        <f>B46</f>
        <v>111</v>
      </c>
      <c r="C129" s="685"/>
      <c r="D129" s="685"/>
      <c r="E129" s="685"/>
      <c r="F129" s="685"/>
      <c r="G129" s="715"/>
      <c r="H129" s="715"/>
      <c r="I129" s="715"/>
      <c r="J129" s="715"/>
      <c r="K129" s="716"/>
      <c r="L129" s="717"/>
      <c r="M129" s="718"/>
      <c r="N129" s="2162"/>
      <c r="O129" s="2162"/>
      <c r="P129" s="2212"/>
      <c r="Q129" s="2156"/>
      <c r="R129" s="2143"/>
      <c r="S129" s="2143"/>
      <c r="T129" s="2143"/>
      <c r="U129" s="2143"/>
      <c r="V129" s="2143"/>
      <c r="W129" s="2143"/>
      <c r="X129" s="2143"/>
      <c r="Y129" s="2143"/>
      <c r="Z129" s="2143"/>
      <c r="AA129" s="2143"/>
      <c r="AB129" s="2143"/>
      <c r="AC129" s="2143"/>
    </row>
    <row r="130" spans="1:29" ht="15.75" thickBot="1">
      <c r="A130" s="666"/>
      <c r="B130" s="675"/>
      <c r="C130" s="689"/>
      <c r="D130" s="689"/>
      <c r="E130" s="689"/>
      <c r="F130" s="689"/>
      <c r="G130" s="668"/>
      <c r="H130" s="668"/>
      <c r="I130" s="668"/>
      <c r="J130" s="668"/>
      <c r="K130" s="668"/>
      <c r="L130" s="668"/>
      <c r="M130" s="669"/>
      <c r="N130" s="2164"/>
      <c r="O130" s="2164"/>
      <c r="P130" s="2212"/>
      <c r="Q130" s="2156"/>
      <c r="R130" s="2143"/>
      <c r="S130" s="2143"/>
      <c r="T130" s="2143"/>
      <c r="U130" s="2143"/>
      <c r="V130" s="2143"/>
      <c r="W130" s="2143"/>
      <c r="X130" s="2143"/>
      <c r="Y130" s="2143"/>
      <c r="Z130" s="2143"/>
      <c r="AA130" s="2143"/>
      <c r="AB130" s="2143"/>
      <c r="AC130" s="2143"/>
    </row>
    <row r="131" spans="1:29" ht="15" thickTop="1">
      <c r="A131" s="732"/>
      <c r="B131" s="678">
        <f>B47</f>
        <v>111</v>
      </c>
      <c r="C131" s="658"/>
      <c r="D131" s="658"/>
      <c r="E131" s="658"/>
      <c r="F131" s="658"/>
      <c r="G131" s="719"/>
      <c r="H131" s="719"/>
      <c r="I131" s="719"/>
      <c r="J131" s="719"/>
      <c r="K131" s="658"/>
      <c r="L131" s="659"/>
      <c r="M131" s="722"/>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6"/>
      <c r="C132" s="697"/>
      <c r="D132" s="697"/>
      <c r="E132" s="697"/>
      <c r="F132" s="697"/>
      <c r="G132" s="723"/>
      <c r="H132" s="723"/>
      <c r="I132" s="723"/>
      <c r="J132" s="723"/>
      <c r="K132" s="723"/>
      <c r="L132" s="723"/>
      <c r="M132" s="724"/>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3" sqref="I33"/>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29" t="s">
        <v>1727</v>
      </c>
      <c r="B1" s="735"/>
      <c r="C1" s="770" t="s">
        <v>2988</v>
      </c>
      <c r="D1" s="3155" t="s">
        <v>2999</v>
      </c>
      <c r="E1" s="2409" t="s">
        <v>2379</v>
      </c>
      <c r="F1" s="2410">
        <f ca="1">J53</f>
        <v>36.33</v>
      </c>
      <c r="G1" s="771">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0" t="s">
        <v>1728</v>
      </c>
      <c r="B2" s="772">
        <f ca="1">C40+J29+L46</f>
        <v>15975</v>
      </c>
      <c r="C2" s="2055"/>
      <c r="D2" s="2053"/>
      <c r="E2" s="2054"/>
      <c r="F2" s="2054"/>
      <c r="G2" s="1587"/>
      <c r="H2" s="2055"/>
      <c r="I2" s="2055"/>
      <c r="J2" s="2055"/>
      <c r="K2" s="2056"/>
      <c r="L2" s="2055"/>
      <c r="M2" s="2055"/>
    </row>
    <row r="3" spans="1:33" ht="18" customHeight="1" thickBot="1">
      <c r="A3" s="830" t="s">
        <v>1729</v>
      </c>
      <c r="B3" s="831">
        <f ca="1">IF(ISERROR(B2*10000/F43),0,ROUND(B2*10000/F43,0))</f>
        <v>22821</v>
      </c>
      <c r="C3" s="2055"/>
      <c r="D3" s="2053"/>
      <c r="E3" s="2054"/>
      <c r="F3" s="2054"/>
      <c r="G3" s="1587"/>
      <c r="H3" s="773" t="s">
        <v>696</v>
      </c>
      <c r="I3" s="1359"/>
      <c r="J3" s="1359"/>
      <c r="K3" s="1588"/>
      <c r="L3" s="1359"/>
      <c r="M3" s="1359"/>
    </row>
    <row r="4" spans="1:33" ht="18" customHeight="1">
      <c r="A4" s="774" t="s">
        <v>1730</v>
      </c>
      <c r="B4" s="775" t="s">
        <v>1731</v>
      </c>
      <c r="C4" s="775" t="s">
        <v>1732</v>
      </c>
      <c r="D4" s="775" t="s">
        <v>634</v>
      </c>
      <c r="E4" s="776" t="s">
        <v>1733</v>
      </c>
      <c r="F4" s="777"/>
      <c r="G4" s="1589"/>
      <c r="H4" s="774" t="s">
        <v>1734</v>
      </c>
      <c r="I4" s="775" t="s">
        <v>1735</v>
      </c>
      <c r="J4" s="775" t="s">
        <v>1736</v>
      </c>
      <c r="K4" s="775" t="s">
        <v>1737</v>
      </c>
      <c r="L4" s="776" t="s">
        <v>1738</v>
      </c>
      <c r="M4" s="777"/>
    </row>
    <row r="5" spans="1:33" ht="18" customHeight="1">
      <c r="A5" s="778">
        <v>1</v>
      </c>
      <c r="B5" s="779" t="s">
        <v>2464</v>
      </c>
      <c r="C5" s="55">
        <f ca="1">C6+C10+C12</f>
        <v>921</v>
      </c>
      <c r="D5" s="2518" t="s">
        <v>2467</v>
      </c>
      <c r="E5" s="2512"/>
      <c r="F5" s="2513"/>
      <c r="G5" s="1589"/>
      <c r="H5" s="778">
        <v>1</v>
      </c>
      <c r="I5" s="779" t="s">
        <v>2464</v>
      </c>
      <c r="J5" s="55">
        <f ca="1">J6+J10+J12</f>
        <v>0</v>
      </c>
      <c r="K5" s="2518" t="s">
        <v>2467</v>
      </c>
      <c r="L5" s="2512"/>
      <c r="M5" s="2513"/>
    </row>
    <row r="6" spans="1:33" ht="18" customHeight="1">
      <c r="A6" s="1828" t="s">
        <v>1826</v>
      </c>
      <c r="B6" s="3446" t="s">
        <v>2469</v>
      </c>
      <c r="C6" s="780">
        <f ca="1">ROUND(F6*F8*F7*(1-F9)/10000,0)</f>
        <v>920</v>
      </c>
      <c r="D6" s="2519" t="s">
        <v>2468</v>
      </c>
      <c r="E6" s="781" t="s">
        <v>1740</v>
      </c>
      <c r="F6" s="782">
        <f ca="1">INDIRECT("'数据-取费表'!u"&amp;$G$1)</f>
        <v>4</v>
      </c>
      <c r="G6" s="1589"/>
      <c r="H6" s="2526" t="s">
        <v>2475</v>
      </c>
      <c r="I6" s="3446" t="s">
        <v>2469</v>
      </c>
      <c r="J6" s="780">
        <f ca="1">ROUND(M6*M8*M7*(1-M9)/10000,0)</f>
        <v>0</v>
      </c>
      <c r="K6" s="338" t="s">
        <v>1739</v>
      </c>
      <c r="L6" s="781" t="s">
        <v>1740</v>
      </c>
      <c r="M6" s="782">
        <f ca="1">INDIRECT("'数据-取费表'!z"&amp;$G$1)</f>
        <v>0</v>
      </c>
    </row>
    <row r="7" spans="1:33" ht="18" customHeight="1">
      <c r="A7" s="2522"/>
      <c r="B7" s="3447"/>
      <c r="C7" s="785"/>
      <c r="D7" s="786"/>
      <c r="E7" s="781" t="s">
        <v>1741</v>
      </c>
      <c r="F7" s="782">
        <f ca="1">IF(INDIRECT("'数据-取费表'!ah"&amp;$G$1)="",INDIRECT("'数据-取费表'!k"&amp;$G$1),INDIRECT("'数据-取费表'!ah"&amp;$G$1))</f>
        <v>7000</v>
      </c>
      <c r="G7" s="1589"/>
      <c r="H7" s="2511"/>
      <c r="I7" s="3447"/>
      <c r="J7" s="785"/>
      <c r="K7" s="786"/>
      <c r="L7" s="781" t="s">
        <v>1741</v>
      </c>
      <c r="M7" s="782">
        <f ca="1">F7</f>
        <v>7000</v>
      </c>
    </row>
    <row r="8" spans="1:33" ht="18" customHeight="1">
      <c r="A8" s="2515"/>
      <c r="B8" s="3448"/>
      <c r="C8" s="785"/>
      <c r="D8" s="786"/>
      <c r="E8" s="781" t="s">
        <v>1742</v>
      </c>
      <c r="F8" s="782">
        <f ca="1">INDIRECT("'数据-取费表'!ai"&amp;$G$1)</f>
        <v>365</v>
      </c>
      <c r="G8" s="1589"/>
      <c r="H8" s="2511"/>
      <c r="I8" s="3448"/>
      <c r="J8" s="785"/>
      <c r="K8" s="786"/>
      <c r="L8" s="781" t="s">
        <v>1742</v>
      </c>
      <c r="M8" s="782">
        <f ca="1">INDIRECT("'数据-取费表'!ai"&amp;$G$1)</f>
        <v>365</v>
      </c>
    </row>
    <row r="9" spans="1:33" ht="18" customHeight="1">
      <c r="A9" s="783"/>
      <c r="B9" s="3449"/>
      <c r="C9" s="785"/>
      <c r="D9" s="786"/>
      <c r="E9" s="781" t="s">
        <v>1743</v>
      </c>
      <c r="F9" s="791">
        <f ca="1">INDIRECT("'数据-取费表'!w"&amp;$G$1)</f>
        <v>0.1</v>
      </c>
      <c r="G9" s="1589"/>
      <c r="H9" s="2527"/>
      <c r="I9" s="3448"/>
      <c r="J9" s="785"/>
      <c r="K9" s="786"/>
      <c r="L9" s="792" t="s">
        <v>1743</v>
      </c>
      <c r="M9" s="793">
        <f ca="1">INDIRECT("'数据-取费表'!ab"&amp;$G$1)</f>
        <v>0</v>
      </c>
    </row>
    <row r="10" spans="1:33" ht="18" customHeight="1">
      <c r="A10" s="1828" t="s">
        <v>2473</v>
      </c>
      <c r="B10" s="2516" t="s">
        <v>2465</v>
      </c>
      <c r="C10" s="796">
        <f ca="1">ROUND(IF(F10="押一",F6*F8*F7/12*F11,IF(F10="押二",F6*F8*F7/12*2*F11,IF(F10="押三",F6*F8*F7/12*3*F11,C11*F11)))/10000,0)</f>
        <v>1</v>
      </c>
      <c r="D10" s="2523" t="s">
        <v>2472</v>
      </c>
      <c r="E10" s="2520" t="s">
        <v>2470</v>
      </c>
      <c r="F10" s="2643" t="s">
        <v>3038</v>
      </c>
      <c r="G10" s="1589"/>
      <c r="H10" s="2583" t="s">
        <v>2476</v>
      </c>
      <c r="I10" s="2588" t="s">
        <v>2465</v>
      </c>
      <c r="J10" s="780">
        <f ca="1">ROUND(IF(M10="押一",M6*M8*M7/12*M11,IF(M10="押二",M6*M8*M7/12*2*M11,IF(M10="押三",M6*M8*M7/12*3*M11,J11*M11)))/10000,0)</f>
        <v>0</v>
      </c>
      <c r="K10" s="2523" t="s">
        <v>2472</v>
      </c>
      <c r="L10" s="2520" t="s">
        <v>2470</v>
      </c>
      <c r="M10" s="2643"/>
    </row>
    <row r="11" spans="1:33" ht="18" customHeight="1">
      <c r="A11" s="787"/>
      <c r="B11" s="2517" t="s">
        <v>2580</v>
      </c>
      <c r="C11" s="2521"/>
      <c r="D11" s="786"/>
      <c r="E11" s="2520" t="s">
        <v>2471</v>
      </c>
      <c r="F11" s="793">
        <f ca="1">'数据-取费表'!B39</f>
        <v>1.4999999999999999E-2</v>
      </c>
      <c r="G11" s="1589"/>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89"/>
      <c r="H12" s="2573" t="s">
        <v>2477</v>
      </c>
      <c r="I12" s="2586" t="s">
        <v>2466</v>
      </c>
      <c r="J12" s="2587"/>
      <c r="K12" s="2562"/>
      <c r="L12" s="2563"/>
      <c r="M12" s="2576"/>
    </row>
    <row r="13" spans="1:33" ht="18" customHeight="1" thickTop="1">
      <c r="A13" s="1827">
        <v>2</v>
      </c>
      <c r="B13" s="1825" t="s">
        <v>1744</v>
      </c>
      <c r="C13" s="3191">
        <f ca="1">ROUND(C29*F13,0)</f>
        <v>3844</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1886</v>
      </c>
      <c r="B14" s="781" t="s">
        <v>646</v>
      </c>
      <c r="C14" s="801">
        <f ca="1">INDIRECT("'数据-取费表'!m"&amp;$G$1)+INDIRECT("'数据-取费表'!t"&amp;$G$1)</f>
        <v>2463</v>
      </c>
      <c r="D14" s="1977" t="s">
        <v>1747</v>
      </c>
      <c r="E14" s="1978"/>
      <c r="F14" s="802"/>
      <c r="G14" s="1589"/>
      <c r="H14" s="1646" t="s">
        <v>1832</v>
      </c>
      <c r="I14" s="2229" t="s">
        <v>2835</v>
      </c>
      <c r="J14" s="53">
        <f ca="1">C29</f>
        <v>3844</v>
      </c>
      <c r="K14" s="26"/>
      <c r="L14" s="798"/>
      <c r="M14" s="799"/>
    </row>
    <row r="15" spans="1:33" s="2062" customFormat="1" ht="18" customHeight="1" thickBot="1">
      <c r="A15" s="1645" t="s">
        <v>1887</v>
      </c>
      <c r="B15" s="781" t="s">
        <v>648</v>
      </c>
      <c r="C15" s="53">
        <f ca="1">ROUND(C14*F15,0)</f>
        <v>74</v>
      </c>
      <c r="D15" s="803" t="s">
        <v>1748</v>
      </c>
      <c r="E15" s="803" t="s">
        <v>1749</v>
      </c>
      <c r="F15" s="804">
        <f>'数据-取费表'!B33</f>
        <v>0.03</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1" t="s">
        <v>651</v>
      </c>
      <c r="C16" s="53">
        <f ca="1">ROUND(INDIRECT("'数据-取费表'!m"&amp;$G$1)*F16,0)</f>
        <v>0</v>
      </c>
      <c r="D16" s="781" t="s">
        <v>1748</v>
      </c>
      <c r="E16" s="781" t="s">
        <v>1749</v>
      </c>
      <c r="F16" s="806">
        <f ca="1">IF(INDIRECT("'数据-取费表'!c"&amp;$G$1)="住宅",'数据-取费表'!B34,0)</f>
        <v>0</v>
      </c>
      <c r="G16" s="1589"/>
      <c r="H16" s="1827" t="s">
        <v>1750</v>
      </c>
      <c r="I16" s="1825" t="s">
        <v>1751</v>
      </c>
      <c r="J16" s="789">
        <f ca="1">ROUND(J17+J22+J23+J24,0)</f>
        <v>110</v>
      </c>
      <c r="K16" s="1819" t="s">
        <v>1752</v>
      </c>
      <c r="L16" s="2508"/>
      <c r="M16" s="2513"/>
    </row>
    <row r="17" spans="1:33" s="2062" customFormat="1" ht="18" customHeight="1">
      <c r="A17" s="1645" t="s">
        <v>1889</v>
      </c>
      <c r="B17" s="781" t="s">
        <v>654</v>
      </c>
      <c r="C17" s="53">
        <f ca="1">ROUND(F17*(F43+INDIRECT("'数据-取费表'!S"&amp;$G$1))/10000,0)</f>
        <v>141</v>
      </c>
      <c r="D17" s="781" t="s">
        <v>1753</v>
      </c>
      <c r="E17" s="781" t="s">
        <v>1754</v>
      </c>
      <c r="F17" s="56">
        <f>'数据-取费表'!B35</f>
        <v>200</v>
      </c>
      <c r="G17" s="1590"/>
      <c r="H17" s="1646" t="s">
        <v>1832</v>
      </c>
      <c r="I17" s="781" t="s">
        <v>657</v>
      </c>
      <c r="J17" s="53">
        <f ca="1">ROUND(IF(项目基本情况!B11="自然人",J5*M17,J18+J19+J20),0)</f>
        <v>33</v>
      </c>
      <c r="K17" s="2507" t="s">
        <v>1755</v>
      </c>
      <c r="L17" s="2506" t="s">
        <v>1756</v>
      </c>
      <c r="M17" s="807">
        <f ca="1">IF(项目基本情况!B11="企业","",IF(INDIRECT("'数据-取费表'!c"&amp;$G$1)="住宅",5%,IF(M6*M7*M8/12/(1+'数据-取费表'!C42)&gt;20000,12%,7%)))</f>
        <v>7.0000000000000007E-2</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1" t="s">
        <v>660</v>
      </c>
      <c r="C18" s="53">
        <f ca="1">ROUND(C14*F18,0)</f>
        <v>37</v>
      </c>
      <c r="D18" s="781" t="s">
        <v>1748</v>
      </c>
      <c r="E18" s="781" t="s">
        <v>1749</v>
      </c>
      <c r="F18" s="806">
        <f>'数据-取费表'!B36</f>
        <v>1.4999999999999999E-2</v>
      </c>
      <c r="G18" s="1590"/>
      <c r="H18" s="1645" t="s">
        <v>1886</v>
      </c>
      <c r="I18" s="781" t="s">
        <v>1757</v>
      </c>
      <c r="J18" s="53">
        <f ca="1">ROUND(J5*M18/1.05,1)</f>
        <v>0</v>
      </c>
      <c r="K18" s="2506" t="s">
        <v>1758</v>
      </c>
      <c r="L18" s="781" t="s">
        <v>1749</v>
      </c>
      <c r="M18" s="806">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1" t="s">
        <v>663</v>
      </c>
      <c r="C19" s="53">
        <f ca="1">SUM(C14:C18)</f>
        <v>2715</v>
      </c>
      <c r="D19" s="260" t="s">
        <v>1759</v>
      </c>
      <c r="E19" s="1980"/>
      <c r="F19" s="56"/>
      <c r="G19" s="1589"/>
      <c r="H19" s="1645" t="s">
        <v>1887</v>
      </c>
      <c r="I19" s="781" t="s">
        <v>1760</v>
      </c>
      <c r="J19" s="53">
        <f ca="1">IF(K19="按租金收入计税",ROUND(J5*M19,1),ROUND(C29*F33*0.7,1))</f>
        <v>32.299999999999997</v>
      </c>
      <c r="K19" s="808" t="s">
        <v>666</v>
      </c>
      <c r="L19" s="781" t="s">
        <v>1749</v>
      </c>
      <c r="M19" s="806">
        <f>IF(K19="按租金收入计税",'数据-取费表'!B51,'数据-取费表'!B50)</f>
        <v>1.2E-2</v>
      </c>
    </row>
    <row r="20" spans="1:33" s="2062" customFormat="1" ht="18" customHeight="1">
      <c r="A20" s="1646" t="s">
        <v>1891</v>
      </c>
      <c r="B20" s="781" t="s">
        <v>667</v>
      </c>
      <c r="C20" s="53">
        <f ca="1">ROUND(C19*F20,0)</f>
        <v>41</v>
      </c>
      <c r="D20" s="809" t="s">
        <v>1761</v>
      </c>
      <c r="E20" s="781" t="s">
        <v>1749</v>
      </c>
      <c r="F20" s="806">
        <f>'数据-取费表'!B37</f>
        <v>1.4999999999999999E-2</v>
      </c>
      <c r="G20" s="1590"/>
      <c r="H20" s="1648" t="s">
        <v>1882</v>
      </c>
      <c r="I20" s="338" t="s">
        <v>1762</v>
      </c>
      <c r="J20" s="54">
        <f ca="1">ROUND(M20*M21/10000,0)</f>
        <v>1</v>
      </c>
      <c r="K20" s="811" t="s">
        <v>1763</v>
      </c>
      <c r="L20" s="781" t="s">
        <v>1764</v>
      </c>
      <c r="M20" s="637">
        <f>'数据-取费表'!B52</f>
        <v>4</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1" t="s">
        <v>1765</v>
      </c>
      <c r="C21" s="53" t="s">
        <v>1766</v>
      </c>
      <c r="D21" s="809" t="s">
        <v>2302</v>
      </c>
      <c r="E21" s="781" t="s">
        <v>1767</v>
      </c>
      <c r="F21" s="806">
        <f>'数据-取费表'!B38</f>
        <v>0.02</v>
      </c>
      <c r="G21" s="1590"/>
      <c r="H21" s="2528"/>
      <c r="I21" s="790"/>
      <c r="J21" s="69"/>
      <c r="K21" s="813"/>
      <c r="L21" s="781" t="s">
        <v>1768</v>
      </c>
      <c r="M21" s="782">
        <f ca="1">INDIRECT("'数据-取费表'!r"&amp;$G$1)</f>
        <v>1937.1799999999998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1" t="s">
        <v>1769</v>
      </c>
      <c r="C22" s="53"/>
      <c r="D22" s="2594" t="str">
        <f>IF(F23&lt;=1,"单利计息。","复利计息。")&amp;"建造成本、管理费用、销售费用产生的利息。"</f>
        <v>复利计息。建造成本、管理费用、销售费用产生的利息。</v>
      </c>
      <c r="E22" s="1980"/>
      <c r="F22" s="56"/>
      <c r="G22" s="1589"/>
      <c r="H22" s="1646" t="s">
        <v>1891</v>
      </c>
      <c r="I22" s="781" t="s">
        <v>1770</v>
      </c>
      <c r="J22" s="53">
        <f ca="1">ROUND(J14*M22,0)</f>
        <v>77</v>
      </c>
      <c r="K22" s="2506" t="s">
        <v>1771</v>
      </c>
      <c r="L22" s="781" t="s">
        <v>1749</v>
      </c>
      <c r="M22" s="814">
        <f ca="1">INDIRECT("'数据-取费表'!Ak"&amp;$G$1)</f>
        <v>0.02</v>
      </c>
    </row>
    <row r="23" spans="1:33" s="2062" customFormat="1" ht="18" customHeight="1">
      <c r="A23" s="1645" t="s">
        <v>1833</v>
      </c>
      <c r="B23" s="781" t="s">
        <v>2542</v>
      </c>
      <c r="C23" s="53">
        <f ca="1">ROUND(IF('数据-取费表'!B22&lt;=1,(C19+C20)*F24*F23/2,(C19+C20)*(POWER((1+F24),F23/2)-1)),0)</f>
        <v>233</v>
      </c>
      <c r="D23" s="2593" t="str">
        <f>IF(F23&lt;=1,"(建造成本+管理费用)×利率×(建设周期÷2)","(建造成本+管理费用)×((1+利率)^(建设周期÷2)-1)")</f>
        <v>(建造成本+管理费用)×((1+利率)^(建设周期÷2)-1)</v>
      </c>
      <c r="E23" s="781" t="s">
        <v>1772</v>
      </c>
      <c r="F23" s="637">
        <f>'数据-取费表'!B20</f>
        <v>3.5</v>
      </c>
      <c r="G23" s="1590"/>
      <c r="H23" s="1646" t="s">
        <v>1892</v>
      </c>
      <c r="I23" s="781" t="s">
        <v>680</v>
      </c>
      <c r="J23" s="53">
        <f ca="1">ROUND(J13*M23,0)</f>
        <v>0</v>
      </c>
      <c r="K23" s="2506" t="s">
        <v>1773</v>
      </c>
      <c r="L23" s="781" t="s">
        <v>1749</v>
      </c>
      <c r="M23" s="815">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1" t="s">
        <v>1774</v>
      </c>
      <c r="C24" s="53">
        <f ca="1">ROUND(IF('数据-取费表'!B22&lt;=1,F21*F24*F23/2,F21*(POWER((1+F24),F23/2)-1)),4)</f>
        <v>1.6999999999999999E-3</v>
      </c>
      <c r="D24" s="2593" t="str">
        <f>IF(F23&lt;=1,"销售费用×利率×(建设周期÷2)","销售费用×((1+利率)^(建设周期÷2)-1)")</f>
        <v>销售费用×((1+利率)^(建设周期÷2)-1)</v>
      </c>
      <c r="E24" s="781" t="s">
        <v>1775</v>
      </c>
      <c r="F24" s="816">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1" t="s">
        <v>685</v>
      </c>
      <c r="C25" s="53"/>
      <c r="D25" s="260" t="s">
        <v>1777</v>
      </c>
      <c r="E25" s="1980"/>
      <c r="F25" s="56"/>
      <c r="G25" s="1589"/>
      <c r="H25" s="1827" t="s">
        <v>1778</v>
      </c>
      <c r="I25" s="3033" t="s">
        <v>2831</v>
      </c>
      <c r="J25" s="789">
        <f ca="1">J5-J16</f>
        <v>-110</v>
      </c>
      <c r="K25" s="2570" t="s">
        <v>1779</v>
      </c>
      <c r="L25" s="2571"/>
      <c r="M25" s="2572"/>
    </row>
    <row r="26" spans="1:33" ht="18" customHeight="1">
      <c r="A26" s="1645" t="s">
        <v>1833</v>
      </c>
      <c r="B26" s="781" t="s">
        <v>2443</v>
      </c>
      <c r="C26" s="53">
        <f ca="1">ROUND((C19+C20)*F26,0)</f>
        <v>551</v>
      </c>
      <c r="D26" s="809" t="s">
        <v>1780</v>
      </c>
      <c r="E26" s="792" t="s">
        <v>1781</v>
      </c>
      <c r="F26" s="791">
        <f ca="1">INDIRECT("'数据-取费表'!q"&amp;$G$1)</f>
        <v>0.2</v>
      </c>
      <c r="G26" s="1589"/>
      <c r="H26" s="2524" t="s">
        <v>1782</v>
      </c>
      <c r="I26" s="2230" t="s">
        <v>2836</v>
      </c>
      <c r="J26" s="780">
        <f ca="1">IF(J5&lt;&gt;0,ROUND(J25*(1-((1+M28)/(1+M26))^M27)/(M26-M28),0),0)</f>
        <v>0</v>
      </c>
      <c r="K26" s="811" t="s">
        <v>1783</v>
      </c>
      <c r="L26" s="781" t="s">
        <v>2424</v>
      </c>
      <c r="M26" s="791">
        <f ca="1">INDIRECT("'数据-取费表'!I"&amp;$G$1)</f>
        <v>5.5E-2</v>
      </c>
    </row>
    <row r="27" spans="1:33" ht="18" customHeight="1">
      <c r="A27" s="1645" t="s">
        <v>1834</v>
      </c>
      <c r="B27" s="781" t="s">
        <v>687</v>
      </c>
      <c r="C27" s="53">
        <f ca="1">ROUND(F21*F26,4)</f>
        <v>4.0000000000000001E-3</v>
      </c>
      <c r="D27" s="809" t="s">
        <v>1784</v>
      </c>
      <c r="E27" s="803"/>
      <c r="F27" s="804"/>
      <c r="G27" s="1589"/>
      <c r="H27" s="2525"/>
      <c r="I27" s="784"/>
      <c r="J27" s="785"/>
      <c r="K27" s="818" t="s">
        <v>1785</v>
      </c>
      <c r="L27" s="781" t="s">
        <v>1786</v>
      </c>
      <c r="M27" s="819">
        <f ca="1">INDIRECT("'数据-取费表'!ag"&amp;$G$1)</f>
        <v>0</v>
      </c>
    </row>
    <row r="28" spans="1:33" s="2062" customFormat="1" ht="18" customHeight="1">
      <c r="A28" s="1647" t="s">
        <v>1843</v>
      </c>
      <c r="B28" s="781" t="s">
        <v>688</v>
      </c>
      <c r="C28" s="53">
        <f>ROUND(F28/(1+'数据-取费表'!C42),4)</f>
        <v>5.33E-2</v>
      </c>
      <c r="D28" s="809" t="s">
        <v>2303</v>
      </c>
      <c r="E28" s="781" t="s">
        <v>1787</v>
      </c>
      <c r="F28" s="806">
        <f>'数据-取费表'!B41</f>
        <v>5.6000000000000001E-2</v>
      </c>
      <c r="G28" s="1590"/>
      <c r="H28" s="1827"/>
      <c r="I28" s="788"/>
      <c r="J28" s="789"/>
      <c r="K28" s="813"/>
      <c r="L28" s="781" t="s">
        <v>1788</v>
      </c>
      <c r="M28" s="791">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3844</v>
      </c>
      <c r="D29" s="2567"/>
      <c r="E29" s="2568"/>
      <c r="F29" s="2569"/>
      <c r="G29" s="1590"/>
      <c r="H29" s="820" t="s">
        <v>1789</v>
      </c>
      <c r="I29" s="821" t="s">
        <v>1790</v>
      </c>
      <c r="J29" s="822">
        <f ca="1">ROUND(J26/(1+F40)^F41,0)</f>
        <v>0</v>
      </c>
      <c r="K29" s="823" t="s">
        <v>1791</v>
      </c>
      <c r="L29" s="824"/>
      <c r="M29" s="825">
        <f ca="1">INDIRECT("'数据-取费表'!k"&amp;$G$1)</f>
        <v>7000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89">
        <f ca="1">ROUND(C31+C36+C37+C38,0)</f>
        <v>183</v>
      </c>
      <c r="D30" s="1819" t="s">
        <v>1793</v>
      </c>
      <c r="E30" s="2508"/>
      <c r="F30" s="2513"/>
      <c r="G30" s="2060"/>
      <c r="H30" s="2063"/>
      <c r="I30" s="2064"/>
      <c r="J30" s="2065"/>
      <c r="K30" s="2066"/>
      <c r="L30" s="2067"/>
      <c r="M30" s="2068"/>
    </row>
    <row r="31" spans="1:33" ht="18" customHeight="1">
      <c r="A31" s="1646" t="s">
        <v>1832</v>
      </c>
      <c r="B31" s="781" t="s">
        <v>657</v>
      </c>
      <c r="C31" s="53">
        <f ca="1">ROUND(IF(项目基本情况!B11="自然人",C5*F31,C32+C33+C34),1)</f>
        <v>82.2</v>
      </c>
      <c r="D31" s="1977" t="s">
        <v>1794</v>
      </c>
      <c r="E31" s="1975" t="s">
        <v>1795</v>
      </c>
      <c r="F31" s="807">
        <f ca="1">IF(项目基本情况!B11="企业","",IF(INDIRECT("'数据-取费表'!c"&amp;$G$1)="住宅",5%,IF(F6*F7*F8/12/(1+'数据-取费表'!C42)&gt;20000,12%,7%)))</f>
        <v>0.12</v>
      </c>
      <c r="G31" s="2060"/>
      <c r="H31" s="2063"/>
      <c r="I31" s="2064"/>
      <c r="J31" s="2065"/>
      <c r="K31" s="2066"/>
      <c r="L31" s="2067"/>
      <c r="M31" s="2068"/>
    </row>
    <row r="32" spans="1:33" ht="18" customHeight="1">
      <c r="A32" s="1645" t="s">
        <v>1833</v>
      </c>
      <c r="B32" s="781" t="s">
        <v>1796</v>
      </c>
      <c r="C32" s="53">
        <f ca="1">ROUND(C5*F32/1.05,1)</f>
        <v>49.1</v>
      </c>
      <c r="D32" s="1975" t="s">
        <v>1797</v>
      </c>
      <c r="E32" s="781" t="s">
        <v>1798</v>
      </c>
      <c r="F32" s="806">
        <f>'数据-取费表'!B41</f>
        <v>5.6000000000000001E-2</v>
      </c>
      <c r="G32" s="2060"/>
      <c r="H32" s="2069"/>
      <c r="I32" s="2070"/>
      <c r="J32" s="2071"/>
      <c r="K32" s="2072"/>
      <c r="L32" s="2073"/>
      <c r="M32" s="2074"/>
    </row>
    <row r="33" spans="1:18" ht="18" customHeight="1">
      <c r="A33" s="1645" t="s">
        <v>1834</v>
      </c>
      <c r="B33" s="781" t="s">
        <v>1799</v>
      </c>
      <c r="C33" s="53">
        <f ca="1">IF(D33="按租金收入计税",ROUND(C5*F33,1),IF(D33="按房产原值计税",ROUND(C29*F33*0.7,1),INDIRECT("'数据-取费表'!Aj"&amp;$G$1)))</f>
        <v>32.299999999999997</v>
      </c>
      <c r="D33" s="808" t="s">
        <v>1682</v>
      </c>
      <c r="E33" s="781" t="s">
        <v>1798</v>
      </c>
      <c r="F33" s="806">
        <f>IF(D33="按租金收入计税",'数据-取费表'!B51,'数据-取费表'!B50)</f>
        <v>1.2E-2</v>
      </c>
      <c r="G33" s="2060"/>
      <c r="H33" s="2075"/>
      <c r="I33" s="2075"/>
      <c r="J33" s="2075"/>
      <c r="K33" s="2076"/>
      <c r="L33" s="2075"/>
      <c r="M33" s="2075"/>
    </row>
    <row r="34" spans="1:18" ht="18" customHeight="1">
      <c r="A34" s="1648" t="s">
        <v>1835</v>
      </c>
      <c r="B34" s="338" t="s">
        <v>1800</v>
      </c>
      <c r="C34" s="54">
        <f ca="1">ROUND(F34*F35/10000,1)</f>
        <v>0.8</v>
      </c>
      <c r="D34" s="811" t="s">
        <v>1801</v>
      </c>
      <c r="E34" s="781" t="s">
        <v>1802</v>
      </c>
      <c r="F34" s="637">
        <f>'数据-取费表'!B52</f>
        <v>4</v>
      </c>
      <c r="G34" s="2060"/>
      <c r="H34" s="2063"/>
      <c r="I34" s="832" t="s">
        <v>1815</v>
      </c>
      <c r="J34" s="833"/>
      <c r="K34" s="2078"/>
      <c r="L34" s="2077"/>
      <c r="M34" s="2077"/>
    </row>
    <row r="35" spans="1:18" ht="18" customHeight="1">
      <c r="A35" s="812"/>
      <c r="B35" s="790"/>
      <c r="C35" s="69"/>
      <c r="D35" s="813"/>
      <c r="E35" s="781" t="s">
        <v>1803</v>
      </c>
      <c r="F35" s="782">
        <f ca="1">INDIRECT("'数据-取费表'!r"&amp;$G$1)</f>
        <v>1937.1799999999998</v>
      </c>
      <c r="G35" s="2060"/>
      <c r="H35" s="2063"/>
      <c r="I35" s="834" t="s">
        <v>1816</v>
      </c>
      <c r="J35" s="835">
        <f ca="1">ROUND(C13*J36,0)</f>
        <v>327</v>
      </c>
      <c r="K35" s="2076"/>
      <c r="L35" s="2075"/>
      <c r="M35" s="2075"/>
    </row>
    <row r="36" spans="1:18" ht="18" customHeight="1">
      <c r="A36" s="1646" t="s">
        <v>1891</v>
      </c>
      <c r="B36" s="781" t="s">
        <v>1804</v>
      </c>
      <c r="C36" s="53">
        <f ca="1">ROUND(C29*F36,1)</f>
        <v>76.900000000000006</v>
      </c>
      <c r="D36" s="1975" t="s">
        <v>1805</v>
      </c>
      <c r="E36" s="781" t="s">
        <v>1798</v>
      </c>
      <c r="F36" s="814">
        <f ca="1">INDIRECT("'数据-取费表'!Ak"&amp;$G$1)</f>
        <v>0.02</v>
      </c>
      <c r="G36" s="2060"/>
      <c r="H36" s="2075"/>
      <c r="I36" s="836" t="s">
        <v>1817</v>
      </c>
      <c r="J36" s="837">
        <f ca="1">INDIRECT("'数据-取费表'!j"&amp;$G$1)</f>
        <v>8.5000000000000006E-2</v>
      </c>
      <c r="K36" s="2080"/>
      <c r="L36" s="2075"/>
      <c r="M36" s="2075"/>
    </row>
    <row r="37" spans="1:18" ht="18" customHeight="1">
      <c r="A37" s="1646" t="s">
        <v>1892</v>
      </c>
      <c r="B37" s="781" t="s">
        <v>680</v>
      </c>
      <c r="C37" s="53">
        <f ca="1">ROUND(C13*F37,1)</f>
        <v>5.8</v>
      </c>
      <c r="D37" s="1975" t="s">
        <v>1806</v>
      </c>
      <c r="E37" s="781" t="s">
        <v>1798</v>
      </c>
      <c r="F37" s="815">
        <f ca="1">INDIRECT("'数据-取费表'!Al"&amp;$G$1)</f>
        <v>1.5E-3</v>
      </c>
      <c r="G37" s="2060"/>
      <c r="H37" s="2075"/>
      <c r="I37" s="838" t="s">
        <v>1818</v>
      </c>
      <c r="J37" s="839"/>
      <c r="K37" s="2080"/>
      <c r="L37" s="2075"/>
      <c r="M37" s="2075"/>
    </row>
    <row r="38" spans="1:18" ht="18" customHeight="1" thickBot="1">
      <c r="A38" s="2573" t="s">
        <v>1893</v>
      </c>
      <c r="B38" s="2568" t="s">
        <v>667</v>
      </c>
      <c r="C38" s="2566">
        <f ca="1">ROUND(C5*F38,1)</f>
        <v>18.399999999999999</v>
      </c>
      <c r="D38" s="2567" t="s">
        <v>1807</v>
      </c>
      <c r="E38" s="2568" t="s">
        <v>1798</v>
      </c>
      <c r="F38" s="2564">
        <f ca="1">INDIRECT("'数据-取费表'!Am"&amp;$G$1)</f>
        <v>0.02</v>
      </c>
      <c r="G38" s="2060"/>
      <c r="H38" s="2075"/>
      <c r="I38" s="840" t="s">
        <v>1819</v>
      </c>
      <c r="J38" s="841"/>
      <c r="K38" s="2081"/>
      <c r="L38" s="2075"/>
      <c r="M38" s="2075"/>
    </row>
    <row r="39" spans="1:18" ht="24.6" customHeight="1" thickTop="1">
      <c r="A39" s="1827" t="s">
        <v>1896</v>
      </c>
      <c r="B39" s="3033" t="s">
        <v>2831</v>
      </c>
      <c r="C39" s="789">
        <f ca="1">C5-C30</f>
        <v>738</v>
      </c>
      <c r="D39" s="2570" t="s">
        <v>1808</v>
      </c>
      <c r="E39" s="2571"/>
      <c r="F39" s="2572"/>
      <c r="G39" s="2060"/>
      <c r="H39" s="2075"/>
      <c r="I39" s="834" t="s">
        <v>1820</v>
      </c>
      <c r="J39" s="842">
        <f ca="1">ROUND(J35/C39,3)</f>
        <v>0.443</v>
      </c>
      <c r="K39" s="2081"/>
      <c r="L39" s="2075"/>
      <c r="M39" s="2075"/>
    </row>
    <row r="40" spans="1:18" ht="18" customHeight="1">
      <c r="A40" s="778" t="s">
        <v>1897</v>
      </c>
      <c r="B40" s="2230" t="s">
        <v>2305</v>
      </c>
      <c r="C40" s="780">
        <f ca="1">ROUND(C39*(1-((1+F42)/(1+F40))^F41)/(F40-F42),0)</f>
        <v>15975</v>
      </c>
      <c r="D40" s="811" t="s">
        <v>1809</v>
      </c>
      <c r="E40" s="781" t="s">
        <v>2424</v>
      </c>
      <c r="F40" s="791">
        <f ca="1">INDIRECT("'数据-取费表'!I"&amp;$G$1)</f>
        <v>5.5E-2</v>
      </c>
      <c r="G40" s="2060"/>
      <c r="H40" s="2060"/>
      <c r="I40" s="834" t="s">
        <v>1821</v>
      </c>
      <c r="J40" s="842">
        <f ca="1">1-J39</f>
        <v>0.55699999999999994</v>
      </c>
      <c r="K40" s="2081"/>
      <c r="L40" s="2060"/>
      <c r="M40" s="2060"/>
    </row>
    <row r="41" spans="1:18" ht="18" customHeight="1">
      <c r="A41" s="783"/>
      <c r="B41" s="784"/>
      <c r="C41" s="785"/>
      <c r="D41" s="818" t="s">
        <v>1810</v>
      </c>
      <c r="E41" s="781" t="s">
        <v>2978</v>
      </c>
      <c r="F41" s="819">
        <f ca="1">IF(INDIRECT("'数据-取费表'!af"&amp;$G$1)=0,INDIRECT("'数据-取费表'!ae"&amp;$G$1),INDIRECT("'数据-取费表'!af"&amp;$G$1))</f>
        <v>36.33</v>
      </c>
      <c r="G41" s="2060"/>
      <c r="H41" s="1986"/>
      <c r="I41" s="840" t="s">
        <v>1822</v>
      </c>
      <c r="J41" s="843"/>
      <c r="K41" s="2080"/>
      <c r="L41" s="1986"/>
      <c r="M41" s="1986"/>
    </row>
    <row r="42" spans="1:18" ht="18" customHeight="1">
      <c r="A42" s="787"/>
      <c r="B42" s="788"/>
      <c r="C42" s="789"/>
      <c r="D42" s="813"/>
      <c r="E42" s="781" t="s">
        <v>1811</v>
      </c>
      <c r="F42" s="791">
        <f ca="1">INDIRECT("'数据-取费表'!v"&amp;$G$1)</f>
        <v>2.5000000000000001E-2</v>
      </c>
      <c r="G42" s="2060"/>
      <c r="H42" s="1986"/>
      <c r="I42" s="844" t="s">
        <v>1823</v>
      </c>
      <c r="J42" s="842">
        <f ca="1">ROUND(C13/C40,3)</f>
        <v>0.24099999999999999</v>
      </c>
      <c r="K42" s="2080"/>
      <c r="L42" s="1986"/>
      <c r="M42" s="1986"/>
    </row>
    <row r="43" spans="1:18" ht="18" customHeight="1" thickBot="1">
      <c r="A43" s="820" t="s">
        <v>1789</v>
      </c>
      <c r="B43" s="821" t="s">
        <v>1812</v>
      </c>
      <c r="C43" s="822">
        <f ca="1">ROUND(C40*10000/F43,0)</f>
        <v>22821</v>
      </c>
      <c r="D43" s="823" t="s">
        <v>1813</v>
      </c>
      <c r="E43" s="824" t="s">
        <v>1814</v>
      </c>
      <c r="F43" s="825">
        <f ca="1">INDIRECT("'数据-取费表'!k"&amp;$G$1)</f>
        <v>7000</v>
      </c>
      <c r="G43" s="2060"/>
      <c r="H43" s="1986"/>
      <c r="I43" s="844" t="s">
        <v>1824</v>
      </c>
      <c r="J43" s="845">
        <f ca="1">1-J42</f>
        <v>0.75900000000000001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-17783</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3023</v>
      </c>
      <c r="K47" s="2386" t="s">
        <v>2354</v>
      </c>
      <c r="L47" s="2387">
        <f ca="1">INDIRECT("'数据-取费表'!d"&amp;$G$1)</f>
        <v>40</v>
      </c>
      <c r="M47" s="1601" t="str">
        <f>IF(ISNUMBER(FIND("住宅",C1)),"住宅","非住宅")</f>
        <v>非住宅</v>
      </c>
      <c r="O47" s="2417" t="s">
        <v>2380</v>
      </c>
      <c r="P47" s="2418" t="s">
        <v>2381</v>
      </c>
      <c r="Q47" s="2419" t="s">
        <v>2382</v>
      </c>
      <c r="R47" s="2418" t="s">
        <v>2383</v>
      </c>
    </row>
    <row r="48" spans="1:18" s="2057" customFormat="1" ht="18" customHeight="1" thickBot="1">
      <c r="A48" s="2665" t="s">
        <v>2544</v>
      </c>
      <c r="B48" s="2666" t="s">
        <v>2545</v>
      </c>
      <c r="C48" s="2372">
        <f ca="1">ROUND(F48*F50*F49*(1-F51)/10000,0)</f>
        <v>0</v>
      </c>
      <c r="D48" s="2373" t="s">
        <v>637</v>
      </c>
      <c r="E48" s="2374" t="s">
        <v>2300</v>
      </c>
      <c r="F48" s="2375"/>
      <c r="G48" s="2088"/>
      <c r="I48" s="2381" t="s">
        <v>2349</v>
      </c>
      <c r="J48" s="2388" t="s">
        <v>2355</v>
      </c>
      <c r="K48" s="2389" t="s">
        <v>2356</v>
      </c>
      <c r="L48" s="2390">
        <f ca="1">INDIRECT("'数据-取费表'!f"&amp;$G$1)</f>
        <v>39.83</v>
      </c>
      <c r="O48" s="2420" t="s">
        <v>2384</v>
      </c>
      <c r="P48" s="2421" t="s">
        <v>2410</v>
      </c>
      <c r="Q48" s="2422">
        <f ca="1">C40+J29</f>
        <v>15975</v>
      </c>
      <c r="R48" s="2421" t="s">
        <v>2385</v>
      </c>
    </row>
    <row r="49" spans="1:18" s="2057" customFormat="1" ht="18" customHeight="1" thickBot="1">
      <c r="A49" s="783"/>
      <c r="B49" s="784"/>
      <c r="C49" s="785"/>
      <c r="D49" s="786"/>
      <c r="E49" s="781" t="s">
        <v>1741</v>
      </c>
      <c r="F49" s="782">
        <f ca="1">F7</f>
        <v>7000</v>
      </c>
      <c r="G49" s="2088"/>
      <c r="H49" s="2091"/>
      <c r="I49" s="2381" t="s">
        <v>2350</v>
      </c>
      <c r="J49" s="2391"/>
      <c r="K49" s="2392" t="s">
        <v>2357</v>
      </c>
      <c r="L49" s="2393"/>
      <c r="O49" s="2420" t="s">
        <v>2386</v>
      </c>
      <c r="P49" s="2421" t="s">
        <v>2411</v>
      </c>
      <c r="Q49" s="2422" t="str">
        <f ca="1">J60</f>
        <v>0</v>
      </c>
      <c r="R49" s="2421" t="s">
        <v>2387</v>
      </c>
    </row>
    <row r="50" spans="1:18" s="2057" customFormat="1" ht="18" customHeight="1" thickBot="1">
      <c r="A50" s="783"/>
      <c r="B50" s="784"/>
      <c r="C50" s="785"/>
      <c r="D50" s="786"/>
      <c r="E50" s="781" t="s">
        <v>1742</v>
      </c>
      <c r="F50" s="782">
        <f ca="1">F8</f>
        <v>365</v>
      </c>
      <c r="G50" s="2093"/>
      <c r="H50" s="2091"/>
      <c r="I50" s="2381" t="s">
        <v>2351</v>
      </c>
      <c r="J50" s="2394">
        <f>SUMPRODUCT((I63:I65=J47)*(J62:L62=J48)*(J63:L65))</f>
        <v>60</v>
      </c>
      <c r="K50" s="2392" t="s">
        <v>2358</v>
      </c>
      <c r="L50" s="2393"/>
      <c r="O50" s="2423" t="s">
        <v>2388</v>
      </c>
      <c r="P50" s="2421" t="s">
        <v>2412</v>
      </c>
      <c r="Q50" s="2422">
        <f ca="1">C29</f>
        <v>3844</v>
      </c>
      <c r="R50" s="2421" t="s">
        <v>2385</v>
      </c>
    </row>
    <row r="51" spans="1:18" s="2057" customFormat="1" ht="18" customHeight="1" thickBot="1">
      <c r="A51" s="783"/>
      <c r="B51" s="784"/>
      <c r="C51" s="785"/>
      <c r="D51" s="786"/>
      <c r="E51" s="781" t="s">
        <v>641</v>
      </c>
      <c r="F51" s="2369"/>
      <c r="H51" s="2091"/>
      <c r="I51" s="2382" t="s">
        <v>2352</v>
      </c>
      <c r="J51" s="2395">
        <f>IF(J49="",J50,J49+J50-YEAR('数据-取费表'!B2))</f>
        <v>60</v>
      </c>
      <c r="K51" s="2381" t="s">
        <v>2359</v>
      </c>
      <c r="L51" s="2396">
        <f ca="1">ROUND(-PV(INDIRECT("'数据-取费表'!h"&amp;$G$1),L48,(C39-C13*J36),0),0)</f>
        <v>7047</v>
      </c>
      <c r="O51" s="2423" t="s">
        <v>2389</v>
      </c>
      <c r="P51" s="2421" t="s">
        <v>2390</v>
      </c>
      <c r="Q51" s="2424" t="e">
        <f ca="1">J58</f>
        <v>#VALUE!</v>
      </c>
      <c r="R51" s="2425"/>
    </row>
    <row r="52" spans="1:18" s="2057" customFormat="1" ht="18" customHeight="1" thickBot="1">
      <c r="A52" s="778" t="s">
        <v>2543</v>
      </c>
      <c r="B52" s="2516" t="s">
        <v>2465</v>
      </c>
      <c r="C52" s="796">
        <f ca="1">ROUND(IF(F52="押一",F48*F50*F49/12*F11,IF(F52="押二",F48*F50*F49/12*2*F11,IF(F52="押三",F48*F50*F49/12*3*F11,C53*F11)))/10000,0)</f>
        <v>0</v>
      </c>
      <c r="D52" s="2523" t="s">
        <v>2472</v>
      </c>
      <c r="E52" s="2520" t="s">
        <v>2470</v>
      </c>
      <c r="F52" s="2643"/>
      <c r="I52" s="2383" t="s">
        <v>2426</v>
      </c>
      <c r="J52" s="2397"/>
      <c r="K52" s="2383" t="s">
        <v>2425</v>
      </c>
      <c r="L52" s="2397"/>
      <c r="O52" s="2423" t="s">
        <v>2391</v>
      </c>
      <c r="P52" s="2421" t="s">
        <v>2392</v>
      </c>
      <c r="Q52" s="2424">
        <f>J52</f>
        <v>0</v>
      </c>
      <c r="R52" s="2425"/>
    </row>
    <row r="53" spans="1:18" s="2057" customFormat="1" ht="39.75" customHeight="1" thickBot="1">
      <c r="A53" s="783"/>
      <c r="B53" s="2517" t="s">
        <v>2580</v>
      </c>
      <c r="C53" s="2521"/>
      <c r="D53" s="2523"/>
      <c r="E53" s="2520"/>
      <c r="F53" s="797"/>
      <c r="I53" s="2384" t="s">
        <v>2353</v>
      </c>
      <c r="J53" s="2398">
        <f ca="1">IF(M47="住宅",J51,IF(D1="——",MIN(J51,L48),IF(D1="土地（套用方法）",MIN(J51,L48-'数据-取费表'!B20))))</f>
        <v>36.33</v>
      </c>
      <c r="K53" s="3472" t="s">
        <v>2980</v>
      </c>
      <c r="L53" s="3473"/>
      <c r="O53" s="2423" t="s">
        <v>2393</v>
      </c>
      <c r="P53" s="2421" t="s">
        <v>2394</v>
      </c>
      <c r="Q53" s="2422">
        <f ca="1">J53</f>
        <v>36.33</v>
      </c>
      <c r="R53" s="2421" t="s">
        <v>2395</v>
      </c>
    </row>
    <row r="54" spans="1:18" s="2057" customFormat="1" ht="18" customHeight="1" thickBot="1">
      <c r="A54" s="2559" t="s">
        <v>2474</v>
      </c>
      <c r="B54" s="2560" t="s">
        <v>2466</v>
      </c>
      <c r="C54" s="2561"/>
      <c r="D54" s="2523"/>
      <c r="E54" s="2520"/>
      <c r="F54" s="797"/>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15975</v>
      </c>
      <c r="R54" s="2425" t="s">
        <v>2397</v>
      </c>
    </row>
    <row r="55" spans="1:18" s="2057" customFormat="1" ht="18" customHeight="1" thickTop="1" thickBot="1">
      <c r="A55" s="794">
        <v>2</v>
      </c>
      <c r="B55" s="795" t="s">
        <v>645</v>
      </c>
      <c r="C55" s="796">
        <f ca="1">C13</f>
        <v>3844</v>
      </c>
      <c r="D55" s="792"/>
      <c r="E55" s="792"/>
      <c r="F55" s="797"/>
      <c r="I55" s="3126" t="s">
        <v>2360</v>
      </c>
      <c r="J55" s="3125" t="e">
        <f ca="1">ROUND(IF(J47="钢混",J57/J50,1-(1-2%)*(J50-J57)/J50),3)</f>
        <v>#VALUE!</v>
      </c>
      <c r="K55" s="2399" t="s">
        <v>2361</v>
      </c>
      <c r="L55" s="2400"/>
      <c r="O55" s="2426" t="s">
        <v>2416</v>
      </c>
      <c r="P55" s="1589"/>
      <c r="Q55" s="1601"/>
      <c r="R55" s="1589"/>
    </row>
    <row r="56" spans="1:18" s="2057" customFormat="1" ht="42.75" customHeight="1" thickBot="1">
      <c r="A56" s="1647"/>
      <c r="B56" s="2229" t="s">
        <v>2306</v>
      </c>
      <c r="C56" s="53">
        <f ca="1">C29</f>
        <v>3844</v>
      </c>
      <c r="D56" s="2662"/>
      <c r="E56" s="781"/>
      <c r="F56" s="806"/>
      <c r="I56" s="2401" t="s">
        <v>2362</v>
      </c>
      <c r="J56" s="3149" t="s">
        <v>1680</v>
      </c>
      <c r="K56" s="2381" t="s">
        <v>2367</v>
      </c>
      <c r="L56" s="2390" t="str">
        <f ca="1">IF(L48&lt;J51,"——",L48-J51)</f>
        <v>——</v>
      </c>
      <c r="O56" s="2417" t="s">
        <v>2380</v>
      </c>
      <c r="P56" s="2418" t="s">
        <v>2381</v>
      </c>
      <c r="Q56" s="2419" t="s">
        <v>2382</v>
      </c>
      <c r="R56" s="2418" t="s">
        <v>2383</v>
      </c>
    </row>
    <row r="57" spans="1:18" s="2057" customFormat="1" ht="28.5" customHeight="1" thickBot="1">
      <c r="A57" s="794" t="s">
        <v>1750</v>
      </c>
      <c r="B57" s="795" t="s">
        <v>652</v>
      </c>
      <c r="C57" s="796">
        <f ca="1">ROUND(C58+C63+C64+C65,0)</f>
        <v>116</v>
      </c>
      <c r="D57" s="26" t="s">
        <v>1752</v>
      </c>
      <c r="E57" s="2663"/>
      <c r="F57" s="56"/>
      <c r="I57" s="2402" t="s">
        <v>2363</v>
      </c>
      <c r="J57" s="2404" t="str">
        <f ca="1">IF(OR(M47="住宅",J51&lt;L48,J56="是"),"——",J51-L48)</f>
        <v>——</v>
      </c>
      <c r="K57" s="2381" t="s">
        <v>2368</v>
      </c>
      <c r="L57" s="2390" t="str">
        <f ca="1">IF(L48&lt;J51,"——",IF(L55="比较法",L49,IF(L55="基准地价",L50,L51)))</f>
        <v>——</v>
      </c>
      <c r="O57" s="2420" t="s">
        <v>2384</v>
      </c>
      <c r="P57" s="2421" t="s">
        <v>2414</v>
      </c>
      <c r="Q57" s="2422">
        <f ca="1">C40+J29</f>
        <v>15975</v>
      </c>
      <c r="R57" s="2421" t="s">
        <v>2385</v>
      </c>
    </row>
    <row r="58" spans="1:18" s="2057" customFormat="1" ht="28.5" customHeight="1" thickBot="1">
      <c r="A58" s="1646" t="s">
        <v>1826</v>
      </c>
      <c r="B58" s="781" t="s">
        <v>657</v>
      </c>
      <c r="C58" s="53">
        <f ca="1">ROUND(IF(项目基本情况!B11="自然人",C47*F58,C59+C60+C61),1)</f>
        <v>33.1</v>
      </c>
      <c r="D58" s="2661" t="s">
        <v>658</v>
      </c>
      <c r="E58" s="2662" t="s">
        <v>691</v>
      </c>
      <c r="F58" s="807">
        <f ca="1">IF(项目基本情况!B11="企业","",IF(INDIRECT("'数据-取费表'!c"&amp;$G$1)="住宅",5%,IF(F48*F49*F50/12/(1+'数据-取费表'!C42)&gt;20000,12%,7%)))</f>
        <v>7.0000000000000007E-2</v>
      </c>
      <c r="I58" s="2402" t="s">
        <v>2364</v>
      </c>
      <c r="J58" s="3127"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1" t="s">
        <v>661</v>
      </c>
      <c r="C59" s="53">
        <f ca="1">ROUND(C47*F59/1.05,1)</f>
        <v>0</v>
      </c>
      <c r="D59" s="2662" t="s">
        <v>1758</v>
      </c>
      <c r="E59" s="781" t="s">
        <v>1749</v>
      </c>
      <c r="F59" s="806">
        <f t="shared" ref="F59:F65" si="0">F32</f>
        <v>5.6000000000000001E-2</v>
      </c>
      <c r="I59" s="2402" t="s">
        <v>2365</v>
      </c>
      <c r="J59" s="2404"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1" t="s">
        <v>1760</v>
      </c>
      <c r="C60" s="53">
        <f ca="1">IF(D60="按租金收入计税",ROUND(C47*F60,1),IF(D60="按房产原值计税",ROUND(C56*F60*0.7,1),INDIRECT("'数据-取费表'!Aj"&amp;$G$1)))</f>
        <v>32.299999999999997</v>
      </c>
      <c r="D60" s="2662" t="str">
        <f>D33</f>
        <v>按房产原值计税</v>
      </c>
      <c r="E60" s="781" t="s">
        <v>1749</v>
      </c>
      <c r="F60" s="806">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38" t="s">
        <v>669</v>
      </c>
      <c r="C61" s="54">
        <f ca="1">ROUND(F61*F62/10000,1)</f>
        <v>0.8</v>
      </c>
      <c r="D61" s="811" t="s">
        <v>670</v>
      </c>
      <c r="E61" s="781" t="s">
        <v>671</v>
      </c>
      <c r="F61" s="637">
        <f t="shared" si="0"/>
        <v>4</v>
      </c>
      <c r="K61" s="2084"/>
      <c r="O61" s="2423" t="s">
        <v>2391</v>
      </c>
      <c r="P61" s="2421" t="s">
        <v>2399</v>
      </c>
      <c r="Q61" s="2422" t="e">
        <f ca="1">L58</f>
        <v>#DIV/0!</v>
      </c>
      <c r="R61" s="2425" t="s">
        <v>2400</v>
      </c>
    </row>
    <row r="62" spans="1:18" s="2057" customFormat="1" ht="15.75" thickBot="1">
      <c r="A62" s="812"/>
      <c r="B62" s="790"/>
      <c r="C62" s="69"/>
      <c r="D62" s="813"/>
      <c r="E62" s="781" t="s">
        <v>675</v>
      </c>
      <c r="F62" s="782">
        <f t="shared" ca="1" si="0"/>
        <v>1937.1799999999998</v>
      </c>
      <c r="I62" s="2407" t="s">
        <v>2372</v>
      </c>
      <c r="J62" s="2408" t="s">
        <v>2373</v>
      </c>
      <c r="K62" s="2408" t="s">
        <v>2374</v>
      </c>
      <c r="L62" s="2408" t="s">
        <v>2355</v>
      </c>
      <c r="M62" s="3128" t="s">
        <v>2955</v>
      </c>
      <c r="O62" s="2423" t="s">
        <v>2393</v>
      </c>
      <c r="P62" s="2421" t="str">
        <f>K59</f>
        <v>建设期及建筑物耐用年限下的土地年期修正系数Kn</v>
      </c>
      <c r="Q62" s="2422" t="e">
        <f ca="1">L59</f>
        <v>#DIV/0!</v>
      </c>
      <c r="R62" s="2425" t="s">
        <v>2402</v>
      </c>
    </row>
    <row r="63" spans="1:18" s="2057" customFormat="1" ht="15.75" thickBot="1">
      <c r="A63" s="1646" t="s">
        <v>1891</v>
      </c>
      <c r="B63" s="781" t="s">
        <v>677</v>
      </c>
      <c r="C63" s="53">
        <f ca="1">ROUND(C56*F63,1)</f>
        <v>76.900000000000006</v>
      </c>
      <c r="D63" s="2662" t="s">
        <v>1805</v>
      </c>
      <c r="E63" s="781" t="s">
        <v>1749</v>
      </c>
      <c r="F63" s="814">
        <f t="shared" ca="1" si="0"/>
        <v>0.02</v>
      </c>
      <c r="I63" s="2407" t="s">
        <v>2375</v>
      </c>
      <c r="J63" s="2408">
        <v>70</v>
      </c>
      <c r="K63" s="2408">
        <v>50</v>
      </c>
      <c r="L63" s="2408">
        <v>80</v>
      </c>
      <c r="M63" s="3129">
        <v>0.02</v>
      </c>
      <c r="O63" s="2420" t="s">
        <v>2396</v>
      </c>
      <c r="P63" s="2421" t="s">
        <v>2413</v>
      </c>
      <c r="Q63" s="2422">
        <f ca="1">Q57+Q58</f>
        <v>15975</v>
      </c>
      <c r="R63" s="2425" t="s">
        <v>2397</v>
      </c>
    </row>
    <row r="64" spans="1:18" s="2057" customFormat="1" ht="16.5" thickBot="1">
      <c r="A64" s="1646" t="s">
        <v>1892</v>
      </c>
      <c r="B64" s="781" t="s">
        <v>680</v>
      </c>
      <c r="C64" s="53">
        <f ca="1">ROUND(C55*F64,1)</f>
        <v>5.8</v>
      </c>
      <c r="D64" s="2662" t="s">
        <v>681</v>
      </c>
      <c r="E64" s="781" t="s">
        <v>1749</v>
      </c>
      <c r="F64" s="815">
        <f t="shared" ca="1" si="0"/>
        <v>1.5E-3</v>
      </c>
      <c r="I64" s="2407" t="s">
        <v>2376</v>
      </c>
      <c r="J64" s="2408">
        <v>50</v>
      </c>
      <c r="K64" s="2408">
        <v>35</v>
      </c>
      <c r="L64" s="2408">
        <v>60</v>
      </c>
      <c r="M64" s="3130">
        <v>0</v>
      </c>
      <c r="O64" s="2426" t="s">
        <v>2420</v>
      </c>
      <c r="P64" s="1589"/>
      <c r="Q64" s="1601"/>
      <c r="R64" s="1589"/>
    </row>
    <row r="65" spans="1:18" s="2057" customFormat="1" ht="15.75" thickBot="1">
      <c r="A65" s="1646" t="s">
        <v>1893</v>
      </c>
      <c r="B65" s="781" t="s">
        <v>667</v>
      </c>
      <c r="C65" s="53">
        <f ca="1">ROUND(C47*F65,1)</f>
        <v>0</v>
      </c>
      <c r="D65" s="2662" t="s">
        <v>684</v>
      </c>
      <c r="E65" s="781" t="s">
        <v>1749</v>
      </c>
      <c r="F65" s="791">
        <f t="shared" ca="1" si="0"/>
        <v>0.02</v>
      </c>
      <c r="I65" s="2407" t="s">
        <v>2377</v>
      </c>
      <c r="J65" s="2408">
        <v>40</v>
      </c>
      <c r="K65" s="2408">
        <v>30</v>
      </c>
      <c r="L65" s="2408">
        <v>50</v>
      </c>
      <c r="M65" s="3129">
        <v>0.02</v>
      </c>
      <c r="O65" s="2417" t="s">
        <v>2380</v>
      </c>
      <c r="P65" s="2418" t="s">
        <v>2381</v>
      </c>
      <c r="Q65" s="2419" t="s">
        <v>2382</v>
      </c>
      <c r="R65" s="2418" t="s">
        <v>2383</v>
      </c>
    </row>
    <row r="66" spans="1:18" s="2057" customFormat="1" ht="24.75" thickBot="1">
      <c r="A66" s="794" t="s">
        <v>1778</v>
      </c>
      <c r="B66" s="3034" t="s">
        <v>2831</v>
      </c>
      <c r="C66" s="796">
        <f ca="1">C47-C57</f>
        <v>-116</v>
      </c>
      <c r="D66" s="2661" t="s">
        <v>701</v>
      </c>
      <c r="E66" s="2660"/>
      <c r="F66" s="817"/>
      <c r="K66" s="2084"/>
      <c r="O66" s="2420" t="s">
        <v>2384</v>
      </c>
      <c r="P66" s="2421" t="s">
        <v>2414</v>
      </c>
      <c r="Q66" s="2422">
        <f ca="1">C40+J29</f>
        <v>15975</v>
      </c>
      <c r="R66" s="2421" t="s">
        <v>2385</v>
      </c>
    </row>
    <row r="67" spans="1:18" s="2057" customFormat="1" ht="20.25" thickBot="1">
      <c r="A67" s="778" t="s">
        <v>1782</v>
      </c>
      <c r="B67" s="2230" t="s">
        <v>2305</v>
      </c>
      <c r="C67" s="780">
        <f ca="1">ROUND(C66*(1-((1+F69)/(1+F67))^F68)/(F67-F69),0)</f>
        <v>-1808</v>
      </c>
      <c r="D67" s="811" t="s">
        <v>705</v>
      </c>
      <c r="E67" s="781" t="s">
        <v>706</v>
      </c>
      <c r="F67" s="791">
        <f ca="1">F40</f>
        <v>5.5E-2</v>
      </c>
      <c r="K67" s="2084"/>
      <c r="O67" s="2420" t="s">
        <v>2386</v>
      </c>
      <c r="P67" s="2421" t="s">
        <v>2417</v>
      </c>
      <c r="Q67" s="2422">
        <f ca="1">L60</f>
        <v>0</v>
      </c>
      <c r="R67" s="2425" t="s">
        <v>2419</v>
      </c>
    </row>
    <row r="68" spans="1:18" ht="21.75" thickBot="1">
      <c r="A68" s="783"/>
      <c r="B68" s="784"/>
      <c r="C68" s="785"/>
      <c r="D68" s="818" t="s">
        <v>1810</v>
      </c>
      <c r="E68" s="781" t="s">
        <v>1786</v>
      </c>
      <c r="F68" s="819">
        <f ca="1">F41</f>
        <v>36.33</v>
      </c>
      <c r="O68" s="2423" t="s">
        <v>2388</v>
      </c>
      <c r="P68" s="2421" t="s">
        <v>2418</v>
      </c>
      <c r="Q68" s="2427">
        <f ca="1">L51</f>
        <v>7047</v>
      </c>
      <c r="R68" s="2428" t="s">
        <v>2421</v>
      </c>
    </row>
    <row r="69" spans="1:18" ht="20.25" thickBot="1">
      <c r="A69" s="787"/>
      <c r="B69" s="788"/>
      <c r="C69" s="789"/>
      <c r="D69" s="813"/>
      <c r="E69" s="781" t="s">
        <v>711</v>
      </c>
      <c r="F69" s="2369"/>
      <c r="O69" s="2423" t="s">
        <v>2389</v>
      </c>
      <c r="P69" s="2429" t="s">
        <v>2403</v>
      </c>
      <c r="Q69" s="2422">
        <f ca="1">ROUND(Q70-Q71*Q72,0)</f>
        <v>411</v>
      </c>
      <c r="R69" s="2425"/>
    </row>
    <row r="70" spans="1:18" ht="15.75" thickBot="1">
      <c r="A70" s="820" t="s">
        <v>1789</v>
      </c>
      <c r="B70" s="821" t="s">
        <v>1812</v>
      </c>
      <c r="C70" s="822">
        <f ca="1">ROUND(C67*10000/F70,0)</f>
        <v>-2583</v>
      </c>
      <c r="D70" s="823" t="s">
        <v>1813</v>
      </c>
      <c r="E70" s="824" t="s">
        <v>1814</v>
      </c>
      <c r="F70" s="825">
        <f ca="1">F43</f>
        <v>7000</v>
      </c>
      <c r="O70" s="2423" t="s">
        <v>2404</v>
      </c>
      <c r="P70" s="2429" t="s">
        <v>2405</v>
      </c>
      <c r="Q70" s="2422">
        <f ca="1">C39</f>
        <v>738</v>
      </c>
      <c r="R70" s="2421" t="s">
        <v>2385</v>
      </c>
    </row>
    <row r="71" spans="1:18" ht="15.75" thickBot="1">
      <c r="O71" s="2423" t="s">
        <v>2406</v>
      </c>
      <c r="P71" s="2429" t="s">
        <v>2407</v>
      </c>
      <c r="Q71" s="2422">
        <f ca="1">C13</f>
        <v>3844</v>
      </c>
      <c r="R71" s="2421" t="s">
        <v>2385</v>
      </c>
    </row>
    <row r="72" spans="1:18" ht="15.75" thickBot="1">
      <c r="O72" s="2423" t="s">
        <v>2408</v>
      </c>
      <c r="P72" s="2429" t="s">
        <v>2409</v>
      </c>
      <c r="Q72" s="2424">
        <f ca="1">J36</f>
        <v>8.5000000000000006E-2</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15975</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2478</v>
      </c>
      <c r="B1" s="3491"/>
      <c r="C1" s="3492"/>
      <c r="D1" s="3493">
        <f>SUM(I10,I15,I20,I21,I23)</f>
        <v>0</v>
      </c>
      <c r="E1" s="3493"/>
      <c r="F1" s="3493"/>
      <c r="G1" s="3493"/>
      <c r="H1" s="3493"/>
      <c r="I1" s="3494"/>
    </row>
    <row r="2" spans="1:9">
      <c r="A2" s="3480" t="s">
        <v>2479</v>
      </c>
      <c r="B2" s="3481" t="s">
        <v>2480</v>
      </c>
      <c r="C2" s="3481"/>
      <c r="D2" s="2529" t="s">
        <v>2481</v>
      </c>
      <c r="E2" s="2529" t="s">
        <v>2482</v>
      </c>
      <c r="F2" s="2529" t="s">
        <v>2483</v>
      </c>
      <c r="G2" s="2529" t="s">
        <v>2484</v>
      </c>
      <c r="H2" s="2529" t="s">
        <v>2485</v>
      </c>
      <c r="I2" s="2530" t="s">
        <v>2486</v>
      </c>
    </row>
    <row r="3" spans="1:9">
      <c r="A3" s="3480"/>
      <c r="B3" s="3481" t="s">
        <v>2487</v>
      </c>
      <c r="C3" s="3481"/>
      <c r="D3" s="2531"/>
      <c r="E3" s="2529"/>
      <c r="F3" s="2532"/>
      <c r="G3" s="2532"/>
      <c r="H3" s="2533"/>
      <c r="I3" s="2534">
        <f>ROUND(D3*E3*F3*G3*H3/10000,0)</f>
        <v>0</v>
      </c>
    </row>
    <row r="4" spans="1:9">
      <c r="A4" s="3480"/>
      <c r="B4" s="3481" t="s">
        <v>2488</v>
      </c>
      <c r="C4" s="3481"/>
      <c r="D4" s="2531"/>
      <c r="E4" s="2529"/>
      <c r="F4" s="2532"/>
      <c r="G4" s="2532"/>
      <c r="H4" s="2533"/>
      <c r="I4" s="2534">
        <f t="shared" ref="I4:I9" si="0">ROUND(D4*E4*F4*G4*H4/10000,0)</f>
        <v>0</v>
      </c>
    </row>
    <row r="5" spans="1:9">
      <c r="A5" s="3480"/>
      <c r="B5" s="3481" t="s">
        <v>2489</v>
      </c>
      <c r="C5" s="3481"/>
      <c r="D5" s="2531"/>
      <c r="E5" s="2529"/>
      <c r="F5" s="2532"/>
      <c r="G5" s="2532"/>
      <c r="H5" s="2533"/>
      <c r="I5" s="2534">
        <f t="shared" si="0"/>
        <v>0</v>
      </c>
    </row>
    <row r="6" spans="1:9">
      <c r="A6" s="3480"/>
      <c r="B6" s="3481" t="s">
        <v>2490</v>
      </c>
      <c r="C6" s="3481"/>
      <c r="D6" s="2531"/>
      <c r="E6" s="2529"/>
      <c r="F6" s="2532"/>
      <c r="G6" s="2532"/>
      <c r="H6" s="2533"/>
      <c r="I6" s="2534">
        <f t="shared" si="0"/>
        <v>0</v>
      </c>
    </row>
    <row r="7" spans="1:9">
      <c r="A7" s="3480"/>
      <c r="B7" s="3481" t="s">
        <v>2491</v>
      </c>
      <c r="C7" s="3481"/>
      <c r="D7" s="2531"/>
      <c r="E7" s="2529"/>
      <c r="F7" s="2532"/>
      <c r="G7" s="2532"/>
      <c r="H7" s="2533"/>
      <c r="I7" s="2534">
        <f t="shared" si="0"/>
        <v>0</v>
      </c>
    </row>
    <row r="8" spans="1:9">
      <c r="A8" s="3480"/>
      <c r="B8" s="3481" t="s">
        <v>2492</v>
      </c>
      <c r="C8" s="3481"/>
      <c r="D8" s="2531"/>
      <c r="E8" s="2529"/>
      <c r="F8" s="2532"/>
      <c r="G8" s="2532"/>
      <c r="H8" s="2533"/>
      <c r="I8" s="2534">
        <f t="shared" si="0"/>
        <v>0</v>
      </c>
    </row>
    <row r="9" spans="1:9">
      <c r="A9" s="3480"/>
      <c r="B9" s="3481" t="s">
        <v>2493</v>
      </c>
      <c r="C9" s="3481"/>
      <c r="D9" s="2531"/>
      <c r="E9" s="2529"/>
      <c r="F9" s="2532"/>
      <c r="G9" s="2532"/>
      <c r="H9" s="2533"/>
      <c r="I9" s="2534">
        <f t="shared" si="0"/>
        <v>0</v>
      </c>
    </row>
    <row r="10" spans="1:9">
      <c r="A10" s="3480"/>
      <c r="B10" s="3482" t="s">
        <v>2494</v>
      </c>
      <c r="C10" s="3482"/>
      <c r="D10" s="2535">
        <v>527</v>
      </c>
      <c r="E10" s="2535" t="e">
        <f>ROUND(D1*10000/D10/H9,0)</f>
        <v>#DIV/0!</v>
      </c>
      <c r="F10" s="2536"/>
      <c r="G10" s="2536"/>
      <c r="H10" s="2537"/>
      <c r="I10" s="2538">
        <f>SUM(I3:I9)</f>
        <v>0</v>
      </c>
    </row>
    <row r="11" spans="1:9" ht="14.25">
      <c r="A11" s="3480" t="s">
        <v>2495</v>
      </c>
      <c r="B11" s="3481" t="s">
        <v>2496</v>
      </c>
      <c r="C11" s="3481"/>
      <c r="D11" s="2531" t="s">
        <v>2497</v>
      </c>
      <c r="E11" s="2531" t="s">
        <v>2498</v>
      </c>
      <c r="F11" s="2532" t="s">
        <v>2499</v>
      </c>
      <c r="G11" s="2532" t="s">
        <v>2500</v>
      </c>
      <c r="H11" s="2539" t="s">
        <v>2501</v>
      </c>
      <c r="I11" s="2530" t="s">
        <v>2502</v>
      </c>
    </row>
    <row r="12" spans="1:9">
      <c r="A12" s="3480"/>
      <c r="B12" s="3481" t="s">
        <v>2503</v>
      </c>
      <c r="C12" s="3481"/>
      <c r="D12" s="2531"/>
      <c r="E12" s="2531"/>
      <c r="F12" s="2532"/>
      <c r="G12" s="2533"/>
      <c r="H12" s="2540"/>
      <c r="I12" s="2530">
        <f>ROUND(D12*E12*F12*G12/10000,0)</f>
        <v>0</v>
      </c>
    </row>
    <row r="13" spans="1:9">
      <c r="A13" s="3480"/>
      <c r="B13" s="3481" t="s">
        <v>2504</v>
      </c>
      <c r="C13" s="3481"/>
      <c r="D13" s="2531"/>
      <c r="E13" s="2531"/>
      <c r="F13" s="2532"/>
      <c r="G13" s="2533"/>
      <c r="H13" s="2540"/>
      <c r="I13" s="2530">
        <f>ROUND(D13*E13*F13*G13/10000,0)</f>
        <v>0</v>
      </c>
    </row>
    <row r="14" spans="1:9">
      <c r="A14" s="3480"/>
      <c r="B14" s="3481" t="s">
        <v>2505</v>
      </c>
      <c r="C14" s="3481"/>
      <c r="D14" s="2531"/>
      <c r="E14" s="2531"/>
      <c r="F14" s="2532"/>
      <c r="G14" s="2533"/>
      <c r="H14" s="2540"/>
      <c r="I14" s="2530">
        <f>ROUND(D14*E14*F14*G14/10000,0)</f>
        <v>0</v>
      </c>
    </row>
    <row r="15" spans="1:9">
      <c r="A15" s="3480"/>
      <c r="B15" s="3482" t="s">
        <v>2494</v>
      </c>
      <c r="C15" s="3482"/>
      <c r="D15" s="2535"/>
      <c r="E15" s="2535">
        <f>SUM(E12:E14)</f>
        <v>0</v>
      </c>
      <c r="F15" s="2536"/>
      <c r="G15" s="2533"/>
      <c r="H15" s="2540"/>
      <c r="I15" s="2541">
        <f>SUM(I12:I14)</f>
        <v>0</v>
      </c>
    </row>
    <row r="16" spans="1:9" ht="24">
      <c r="A16" s="3480" t="s">
        <v>2506</v>
      </c>
      <c r="B16" s="3481" t="s">
        <v>2507</v>
      </c>
      <c r="C16" s="3481"/>
      <c r="D16" s="2531" t="s">
        <v>2508</v>
      </c>
      <c r="E16" s="2542" t="s">
        <v>2509</v>
      </c>
      <c r="F16" s="2532" t="s">
        <v>2510</v>
      </c>
      <c r="G16" s="2533" t="s">
        <v>2500</v>
      </c>
      <c r="H16" s="2539" t="s">
        <v>2501</v>
      </c>
      <c r="I16" s="2530" t="s">
        <v>2502</v>
      </c>
    </row>
    <row r="17" spans="1:9" ht="14.25">
      <c r="A17" s="3480"/>
      <c r="B17" s="3481" t="s">
        <v>2511</v>
      </c>
      <c r="C17" s="3481"/>
      <c r="D17" s="2531"/>
      <c r="E17" s="2531"/>
      <c r="F17" s="2532"/>
      <c r="G17" s="2533"/>
      <c r="H17" s="2543"/>
      <c r="I17" s="2544">
        <f>ROUND(D17*E17*F17*G17/10000,0)</f>
        <v>0</v>
      </c>
    </row>
    <row r="18" spans="1:9" ht="14.25">
      <c r="A18" s="3480"/>
      <c r="B18" s="3481" t="s">
        <v>2512</v>
      </c>
      <c r="C18" s="3481"/>
      <c r="D18" s="2531"/>
      <c r="E18" s="2531"/>
      <c r="F18" s="2532"/>
      <c r="G18" s="2533"/>
      <c r="H18" s="2543"/>
      <c r="I18" s="2544">
        <f>ROUND(D18*E18*F18*G18/10000,0)</f>
        <v>0</v>
      </c>
    </row>
    <row r="19" spans="1:9" ht="14.25">
      <c r="A19" s="3480"/>
      <c r="B19" s="3481" t="s">
        <v>2513</v>
      </c>
      <c r="C19" s="3481"/>
      <c r="D19" s="2531"/>
      <c r="E19" s="2531"/>
      <c r="F19" s="2532"/>
      <c r="G19" s="2533"/>
      <c r="H19" s="2543"/>
      <c r="I19" s="2544">
        <f>ROUND(D19*E19*F19*G19/10000,0)</f>
        <v>0</v>
      </c>
    </row>
    <row r="20" spans="1:9">
      <c r="A20" s="3480"/>
      <c r="B20" s="3482" t="s">
        <v>2494</v>
      </c>
      <c r="C20" s="3482"/>
      <c r="D20" s="2535">
        <f>SUM(D17:D19)</f>
        <v>0</v>
      </c>
      <c r="E20" s="2535"/>
      <c r="F20" s="2536"/>
      <c r="G20" s="2533"/>
      <c r="H20" s="2540"/>
      <c r="I20" s="2541">
        <f>SUM(I17:I19)</f>
        <v>0</v>
      </c>
    </row>
    <row r="21" spans="1:9">
      <c r="A21" s="3480" t="s">
        <v>2514</v>
      </c>
      <c r="B21" s="3483"/>
      <c r="C21" s="3483"/>
      <c r="D21" s="3483"/>
      <c r="E21" s="3483"/>
      <c r="F21" s="3483"/>
      <c r="G21" s="3483"/>
      <c r="H21" s="2545">
        <v>0.1</v>
      </c>
      <c r="I21" s="2538">
        <f>ROUND(I10*H21,0)</f>
        <v>0</v>
      </c>
    </row>
    <row r="22" spans="1:9" ht="14.25">
      <c r="A22" s="3484" t="s">
        <v>2515</v>
      </c>
      <c r="B22" s="3485"/>
      <c r="C22" s="3486"/>
      <c r="D22" s="2546" t="s">
        <v>2516</v>
      </c>
      <c r="E22" s="2546" t="s">
        <v>2517</v>
      </c>
      <c r="F22" s="2547" t="s">
        <v>2518</v>
      </c>
      <c r="G22" s="2547" t="s">
        <v>2519</v>
      </c>
      <c r="H22" s="2539" t="s">
        <v>2520</v>
      </c>
      <c r="I22" s="2530" t="s">
        <v>2521</v>
      </c>
    </row>
    <row r="23" spans="1:9" ht="14.25" thickBot="1">
      <c r="A23" s="3487"/>
      <c r="B23" s="3488"/>
      <c r="C23" s="3489"/>
      <c r="D23" s="2548"/>
      <c r="E23" s="2548"/>
      <c r="F23" s="2548"/>
      <c r="G23" s="2549"/>
      <c r="H23" s="2550"/>
      <c r="I23" s="2551">
        <f>ROUND(E23*D23*F23*(1-G23)/10000,0)</f>
        <v>0</v>
      </c>
    </row>
    <row r="26" spans="1:9">
      <c r="A26" s="2552" t="s">
        <v>2522</v>
      </c>
      <c r="B26" s="2552"/>
      <c r="C26" s="2552"/>
      <c r="D26" s="2552"/>
      <c r="E26" s="3477">
        <f>C27-C30-C31-C32</f>
        <v>0</v>
      </c>
      <c r="F26" s="3477"/>
      <c r="G26" s="3477"/>
      <c r="H26" s="3067" t="s">
        <v>2852</v>
      </c>
    </row>
    <row r="27" spans="1:9">
      <c r="A27" s="2553">
        <v>1</v>
      </c>
      <c r="B27" s="2554" t="s">
        <v>2523</v>
      </c>
      <c r="C27" s="2554"/>
      <c r="D27" s="2554"/>
      <c r="E27" s="3478"/>
      <c r="F27" s="3478"/>
      <c r="G27" s="3478"/>
    </row>
    <row r="28" spans="1:9">
      <c r="A28" s="2555" t="s">
        <v>2524</v>
      </c>
      <c r="B28" s="2554" t="s">
        <v>2525</v>
      </c>
      <c r="C28" s="2554"/>
      <c r="D28" s="2554"/>
      <c r="E28" s="3478"/>
      <c r="F28" s="3478"/>
      <c r="G28" s="3478"/>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479"/>
      <c r="F32" s="3479"/>
      <c r="G32" s="3479"/>
    </row>
    <row r="33" spans="1:7" hidden="1">
      <c r="A33" s="3474" t="s">
        <v>2533</v>
      </c>
      <c r="B33" s="3475"/>
      <c r="C33" s="3475"/>
      <c r="D33" s="3476"/>
      <c r="E33" s="3477"/>
      <c r="F33" s="3477"/>
      <c r="G33" s="3477"/>
    </row>
    <row r="34" spans="1:7" hidden="1">
      <c r="A34" s="2557">
        <v>1</v>
      </c>
      <c r="B34" s="2554" t="s">
        <v>2534</v>
      </c>
      <c r="C34" s="2554"/>
      <c r="D34" s="2554"/>
      <c r="E34" s="3478"/>
      <c r="F34" s="3478"/>
      <c r="G34" s="3478"/>
    </row>
    <row r="35" spans="1:7" hidden="1">
      <c r="A35" s="2557">
        <v>2</v>
      </c>
      <c r="B35" s="2554" t="s">
        <v>2535</v>
      </c>
      <c r="C35" s="2554"/>
      <c r="D35" s="2554"/>
      <c r="E35" s="3478"/>
      <c r="F35" s="3478"/>
      <c r="G35" s="3478"/>
    </row>
    <row r="36" spans="1:7" hidden="1">
      <c r="A36" s="2557">
        <v>3</v>
      </c>
      <c r="B36" s="2554" t="s">
        <v>2536</v>
      </c>
      <c r="C36" s="2554"/>
      <c r="D36" s="2554"/>
      <c r="E36" s="3478"/>
      <c r="F36" s="3478"/>
      <c r="G36" s="3478"/>
    </row>
    <row r="37" spans="1:7" hidden="1">
      <c r="A37" s="2557">
        <v>4</v>
      </c>
      <c r="B37" s="2554" t="s">
        <v>2537</v>
      </c>
      <c r="C37" s="2554"/>
      <c r="D37" s="2554"/>
      <c r="E37" s="3478"/>
      <c r="F37" s="3478"/>
      <c r="G37" s="3478"/>
    </row>
    <row r="38" spans="1:7" hidden="1">
      <c r="A38" s="3474" t="s">
        <v>2538</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8" t="s">
        <v>604</v>
      </c>
      <c r="B1" s="739"/>
      <c r="C1" s="2180"/>
      <c r="D1" s="2180"/>
      <c r="E1" s="2180"/>
      <c r="F1" s="2180"/>
      <c r="G1" s="2106"/>
    </row>
    <row r="2" spans="1:25" s="2057" customFormat="1" ht="18" customHeight="1">
      <c r="A2" s="420" t="s">
        <v>467</v>
      </c>
      <c r="B2" s="422">
        <f ca="1">C23</f>
        <v>0</v>
      </c>
      <c r="C2" s="2106"/>
      <c r="D2" s="2106"/>
      <c r="E2" s="2106"/>
      <c r="F2" s="2106"/>
      <c r="G2" s="2106"/>
    </row>
    <row r="3" spans="1:25" s="2057" customFormat="1" ht="18" customHeight="1">
      <c r="A3" s="1376" t="s">
        <v>1687</v>
      </c>
      <c r="B3" s="422">
        <f ca="1">ROUND(B2*10000/'数据-汇总表'!E3,0)</f>
        <v>0</v>
      </c>
      <c r="C3" s="2106"/>
      <c r="D3" s="2106"/>
      <c r="E3" s="2106"/>
      <c r="F3" s="2106"/>
      <c r="G3" s="2106"/>
    </row>
    <row r="4" spans="1:25" s="2057" customFormat="1" ht="18" customHeight="1">
      <c r="A4" s="423" t="s">
        <v>468</v>
      </c>
      <c r="B4" s="424">
        <f ca="1">ROUND(B2*10000/'数据-汇总表'!D3,0)</f>
        <v>0</v>
      </c>
      <c r="C4" s="2059"/>
      <c r="D4" s="2106"/>
      <c r="E4" s="2106"/>
      <c r="F4" s="2106"/>
      <c r="G4" s="2106"/>
    </row>
    <row r="5" spans="1:25" s="2057" customFormat="1" ht="18" customHeight="1" thickBot="1">
      <c r="A5" s="426"/>
      <c r="B5" s="427">
        <f ca="1">ROUND(B2/('数据-汇总表'!D3/666.67),0)</f>
        <v>0</v>
      </c>
      <c r="C5" s="428" t="s">
        <v>469</v>
      </c>
      <c r="D5" s="2106"/>
      <c r="E5" s="2106"/>
      <c r="F5" s="2106"/>
      <c r="G5" s="2106"/>
    </row>
    <row r="6" spans="1:25" s="2181" customFormat="1" ht="13.5" customHeight="1">
      <c r="A6" s="740"/>
      <c r="B6" s="741" t="s">
        <v>605</v>
      </c>
      <c r="C6" s="742" t="s">
        <v>606</v>
      </c>
      <c r="D6" s="742" t="s">
        <v>607</v>
      </c>
      <c r="E6" s="743" t="s">
        <v>608</v>
      </c>
      <c r="F6" s="743" t="s">
        <v>609</v>
      </c>
      <c r="G6" s="744"/>
    </row>
    <row r="7" spans="1:25" s="2181" customFormat="1" ht="13.5" customHeight="1">
      <c r="A7" s="2491">
        <v>1</v>
      </c>
      <c r="B7" s="745" t="s">
        <v>610</v>
      </c>
      <c r="C7" s="746">
        <f>C8+C9</f>
        <v>0</v>
      </c>
      <c r="D7" s="746"/>
      <c r="E7" s="747"/>
      <c r="F7" s="747"/>
      <c r="G7" s="2501"/>
    </row>
    <row r="8" spans="1:25" s="2181" customFormat="1" ht="13.5" customHeight="1">
      <c r="A8" s="2491" t="s">
        <v>2445</v>
      </c>
      <c r="B8" s="2494" t="s">
        <v>2447</v>
      </c>
      <c r="C8" s="2495"/>
      <c r="D8" s="746"/>
      <c r="E8" s="747"/>
      <c r="F8" s="747"/>
      <c r="G8" s="748"/>
    </row>
    <row r="9" spans="1:25" s="2181" customFormat="1" ht="13.5" customHeight="1">
      <c r="A9" s="2491" t="s">
        <v>2446</v>
      </c>
      <c r="B9" s="2494" t="s">
        <v>2448</v>
      </c>
      <c r="C9" s="2495"/>
      <c r="D9" s="746"/>
      <c r="E9" s="747"/>
      <c r="F9" s="747"/>
      <c r="G9" s="748"/>
    </row>
    <row r="10" spans="1:25" s="2181" customFormat="1" ht="36">
      <c r="A10" s="2491">
        <v>2</v>
      </c>
      <c r="B10" s="745" t="s">
        <v>614</v>
      </c>
      <c r="C10" s="746">
        <f>C11+C14+C15</f>
        <v>0</v>
      </c>
      <c r="D10" s="757">
        <f>'数据-汇总表'!E3</f>
        <v>136430.07</v>
      </c>
      <c r="E10" s="746">
        <f>'数据-取费表'!B31</f>
        <v>200</v>
      </c>
      <c r="F10" s="758"/>
      <c r="G10" s="756" t="s">
        <v>615</v>
      </c>
    </row>
    <row r="11" spans="1:25" s="2181" customFormat="1" ht="13.5" customHeight="1">
      <c r="A11" s="2491" t="s">
        <v>2445</v>
      </c>
      <c r="B11" s="749" t="s">
        <v>611</v>
      </c>
      <c r="C11" s="750">
        <f>'数据-取费表'!B29</f>
        <v>0</v>
      </c>
      <c r="D11" s="751"/>
      <c r="E11" s="750"/>
      <c r="F11" s="752"/>
      <c r="G11" s="2500" t="s">
        <v>2456</v>
      </c>
    </row>
    <row r="12" spans="1:25" s="2181" customFormat="1" ht="13.5" customHeight="1">
      <c r="A12" s="2498" t="s">
        <v>2453</v>
      </c>
      <c r="B12" s="753" t="s">
        <v>612</v>
      </c>
      <c r="C12" s="754">
        <f>ROUND(D12*E12/10000,0)</f>
        <v>1082</v>
      </c>
      <c r="D12" s="755">
        <f>'数据-汇总表'!E5</f>
        <v>103065.77</v>
      </c>
      <c r="E12" s="754">
        <f>'数据-取费表'!B27</f>
        <v>105</v>
      </c>
      <c r="F12" s="752"/>
      <c r="G12" s="756"/>
    </row>
    <row r="13" spans="1:25" s="2181" customFormat="1" ht="13.5" customHeight="1">
      <c r="A13" s="2498" t="s">
        <v>2452</v>
      </c>
      <c r="B13" s="753" t="s">
        <v>613</v>
      </c>
      <c r="C13" s="754">
        <f>ROUND(D13*E13/10000,0)</f>
        <v>350</v>
      </c>
      <c r="D13" s="755">
        <f>'数据-汇总表'!E6</f>
        <v>33364.300000000003</v>
      </c>
      <c r="E13" s="754">
        <f>'数据-取费表'!B28</f>
        <v>105</v>
      </c>
      <c r="F13" s="752"/>
      <c r="G13" s="756"/>
    </row>
    <row r="14" spans="1:25" s="2181" customFormat="1" ht="13.5" customHeight="1">
      <c r="A14" s="2491" t="s">
        <v>2446</v>
      </c>
      <c r="B14" s="2497" t="s">
        <v>2449</v>
      </c>
      <c r="C14" s="2495"/>
      <c r="D14" s="755"/>
      <c r="E14" s="754"/>
      <c r="F14" s="2496"/>
      <c r="G14" s="2499" t="s">
        <v>2454</v>
      </c>
    </row>
    <row r="15" spans="1:25" s="2181" customFormat="1" ht="13.5" customHeight="1">
      <c r="A15" s="2491" t="s">
        <v>2451</v>
      </c>
      <c r="B15" s="2497" t="s">
        <v>2450</v>
      </c>
      <c r="C15" s="2495"/>
      <c r="D15" s="755"/>
      <c r="E15" s="754"/>
      <c r="F15" s="2496"/>
      <c r="G15" s="2499" t="s">
        <v>2455</v>
      </c>
    </row>
    <row r="16" spans="1:25" s="2182" customFormat="1" ht="48">
      <c r="A16" s="2491">
        <v>3</v>
      </c>
      <c r="B16" s="745" t="s">
        <v>616</v>
      </c>
      <c r="C16" s="2495"/>
      <c r="D16" s="757"/>
      <c r="E16" s="746"/>
      <c r="F16" s="758"/>
      <c r="G16" s="756"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5" t="s">
        <v>617</v>
      </c>
      <c r="C17" s="259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5" t="s">
        <v>618</v>
      </c>
      <c r="C18" s="746">
        <f>ROUND((C7+C10+C16)*F18,0)</f>
        <v>0</v>
      </c>
      <c r="D18" s="759"/>
      <c r="E18" s="760"/>
      <c r="F18" s="758">
        <f>'数据-取费表'!Q16</f>
        <v>0.14000000000000001</v>
      </c>
      <c r="G18" s="762"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5" t="s">
        <v>620</v>
      </c>
      <c r="C19" s="746">
        <f ca="1">C7+C10+C16+C17+C18</f>
        <v>0</v>
      </c>
      <c r="D19" s="757"/>
      <c r="E19" s="746"/>
      <c r="F19" s="758"/>
      <c r="G19" s="762"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5" t="s">
        <v>622</v>
      </c>
      <c r="C20" s="746">
        <f ca="1">ROUND(C19*F20,0)</f>
        <v>0</v>
      </c>
      <c r="D20" s="757"/>
      <c r="E20" s="746"/>
      <c r="F20" s="1345"/>
      <c r="G20" s="762"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5" t="s">
        <v>624</v>
      </c>
      <c r="C21" s="746">
        <f ca="1">C19+C20</f>
        <v>0</v>
      </c>
      <c r="D21" s="757"/>
      <c r="E21" s="746"/>
      <c r="F21" s="758"/>
      <c r="G21" s="762"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5" t="s">
        <v>626</v>
      </c>
      <c r="C22" s="746">
        <f ca="1">ROUND(C21*F22,0)</f>
        <v>0</v>
      </c>
      <c r="D22" s="757"/>
      <c r="E22" s="746"/>
      <c r="F22" s="763">
        <f>'数据-取费表'!AP16</f>
        <v>0.93100000000000005</v>
      </c>
      <c r="G22" s="762"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4" t="s">
        <v>628</v>
      </c>
      <c r="C23" s="765">
        <f ca="1">C22</f>
        <v>0</v>
      </c>
      <c r="D23" s="766"/>
      <c r="E23" s="765"/>
      <c r="F23" s="767"/>
      <c r="G23" s="768"/>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758</v>
      </c>
      <c r="C1" s="501" t="s">
        <v>721</v>
      </c>
      <c r="D1" s="2368"/>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467</v>
      </c>
      <c r="B2" s="847"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520</v>
      </c>
      <c r="B3" s="507" t="e">
        <f>C49</f>
        <v>#DIV/0!</v>
      </c>
      <c r="C3" s="849" t="s">
        <v>723</v>
      </c>
      <c r="D3" s="848">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5"/>
    </row>
    <row r="4" spans="1:29" ht="15">
      <c r="A4" s="509" t="s">
        <v>522</v>
      </c>
      <c r="B4" s="510"/>
      <c r="C4" s="3390" t="s">
        <v>523</v>
      </c>
      <c r="D4" s="3391"/>
      <c r="E4" s="3415" t="s">
        <v>524</v>
      </c>
      <c r="F4" s="3416"/>
      <c r="G4" s="3390" t="s">
        <v>525</v>
      </c>
      <c r="H4" s="3391"/>
      <c r="I4" s="3390" t="s">
        <v>526</v>
      </c>
      <c r="J4" s="3391"/>
      <c r="K4" s="511" t="s">
        <v>527</v>
      </c>
      <c r="L4" s="2131"/>
      <c r="M4" s="2132"/>
      <c r="N4" s="2132"/>
      <c r="O4" s="2132"/>
      <c r="P4" s="3392" t="s">
        <v>528</v>
      </c>
      <c r="Q4" s="3393"/>
      <c r="R4" s="3378" t="s">
        <v>524</v>
      </c>
      <c r="S4" s="3379"/>
      <c r="T4" s="3378" t="s">
        <v>525</v>
      </c>
      <c r="U4" s="3379"/>
      <c r="V4" s="3398" t="s">
        <v>526</v>
      </c>
      <c r="W4" s="3398"/>
      <c r="X4" s="1564"/>
      <c r="Y4" s="3378" t="s">
        <v>528</v>
      </c>
      <c r="Z4" s="3379"/>
      <c r="AA4" s="3373" t="s">
        <v>524</v>
      </c>
      <c r="AB4" s="3398" t="s">
        <v>525</v>
      </c>
      <c r="AC4" s="3373" t="s">
        <v>526</v>
      </c>
    </row>
    <row r="5" spans="1:29" ht="15">
      <c r="A5" s="512"/>
      <c r="B5" s="513"/>
      <c r="C5" s="3401" t="s">
        <v>2940</v>
      </c>
      <c r="D5" s="3402"/>
      <c r="E5" s="3417" t="s">
        <v>2941</v>
      </c>
      <c r="F5" s="3418"/>
      <c r="G5" s="3401" t="s">
        <v>2942</v>
      </c>
      <c r="H5" s="3402"/>
      <c r="I5" s="3401" t="s">
        <v>2943</v>
      </c>
      <c r="J5" s="3402"/>
      <c r="K5" s="511"/>
      <c r="L5" s="2131"/>
      <c r="M5" s="2132"/>
      <c r="N5" s="2132"/>
      <c r="O5" s="2132"/>
      <c r="P5" s="3394"/>
      <c r="Q5" s="3395"/>
      <c r="R5" s="3380"/>
      <c r="S5" s="3381"/>
      <c r="T5" s="3380"/>
      <c r="U5" s="3381"/>
      <c r="V5" s="3398"/>
      <c r="W5" s="3398"/>
      <c r="X5" s="1564"/>
      <c r="Y5" s="3380"/>
      <c r="Z5" s="3381"/>
      <c r="AA5" s="3374"/>
      <c r="AB5" s="3398"/>
      <c r="AC5" s="3374"/>
    </row>
    <row r="6" spans="1:29" ht="15.75" thickBot="1">
      <c r="A6" s="514"/>
      <c r="B6" s="515"/>
      <c r="C6" s="3419" t="s">
        <v>2944</v>
      </c>
      <c r="D6" s="3400"/>
      <c r="E6" s="3420" t="s">
        <v>2944</v>
      </c>
      <c r="F6" s="3421"/>
      <c r="G6" s="3419" t="s">
        <v>2944</v>
      </c>
      <c r="H6" s="3400"/>
      <c r="I6" s="3419" t="s">
        <v>2944</v>
      </c>
      <c r="J6" s="3400"/>
      <c r="K6" s="511" t="s">
        <v>529</v>
      </c>
      <c r="L6" s="2131"/>
      <c r="M6" s="2132"/>
      <c r="N6" s="2132"/>
      <c r="O6" s="2132"/>
      <c r="P6" s="3396"/>
      <c r="Q6" s="3397"/>
      <c r="R6" s="3380"/>
      <c r="S6" s="3381"/>
      <c r="T6" s="3382"/>
      <c r="U6" s="3383"/>
      <c r="V6" s="3398"/>
      <c r="W6" s="3398"/>
      <c r="X6" s="1564"/>
      <c r="Y6" s="3382"/>
      <c r="Z6" s="3383"/>
      <c r="AA6" s="3375"/>
      <c r="AB6" s="3398"/>
      <c r="AC6" s="3375"/>
    </row>
    <row r="7" spans="1:29" s="1216" customFormat="1" ht="15.75" thickBot="1">
      <c r="A7" s="2935"/>
      <c r="B7" s="2942" t="s">
        <v>530</v>
      </c>
      <c r="C7" s="516">
        <f>'数据-取费表'!B2</f>
        <v>43123</v>
      </c>
      <c r="D7" s="517">
        <v>100</v>
      </c>
      <c r="E7" s="518"/>
      <c r="F7" s="519">
        <f>SUMIF(58:58,YEAR(E7)&amp;"-"&amp;MONTH(E7),59:59)</f>
        <v>0</v>
      </c>
      <c r="G7" s="518"/>
      <c r="H7" s="517">
        <f>SUMIF(58:58,YEAR(G7)&amp;"-"&amp;MONTH(G7),59:59)</f>
        <v>0</v>
      </c>
      <c r="I7" s="518"/>
      <c r="J7" s="517">
        <f>SUMIF(58:58,YEAR(I7)&amp;"-"&amp;MONTH(I7),59:59)</f>
        <v>0</v>
      </c>
      <c r="K7" s="521"/>
      <c r="L7" s="2133"/>
      <c r="M7" s="2134"/>
      <c r="N7" s="2134"/>
      <c r="O7" s="2134"/>
      <c r="P7" s="3376" t="s">
        <v>531</v>
      </c>
      <c r="Q7" s="3385"/>
      <c r="R7" s="1565" t="s">
        <v>8</v>
      </c>
      <c r="S7" s="1566">
        <f t="shared" ref="S7:S15" si="0">F7</f>
        <v>0</v>
      </c>
      <c r="T7" s="1565" t="s">
        <v>8</v>
      </c>
      <c r="U7" s="1566">
        <f t="shared" ref="U7:U15" si="1">H7</f>
        <v>0</v>
      </c>
      <c r="V7" s="1565" t="s">
        <v>8</v>
      </c>
      <c r="W7" s="1566">
        <f t="shared" ref="W7:W15" si="2">J7</f>
        <v>0</v>
      </c>
      <c r="X7" s="1567"/>
      <c r="Y7" s="3376" t="s">
        <v>531</v>
      </c>
      <c r="Z7" s="3377"/>
      <c r="AA7" s="1568" t="e">
        <f>D7/F7</f>
        <v>#DIV/0!</v>
      </c>
      <c r="AB7" s="1568" t="e">
        <f>D7/H7</f>
        <v>#DIV/0!</v>
      </c>
      <c r="AC7" s="1568" t="e">
        <f>D7/J7</f>
        <v>#DIV/0!</v>
      </c>
    </row>
    <row r="8" spans="1:29" s="1216" customFormat="1" ht="15.75" thickBot="1">
      <c r="A8" s="2936"/>
      <c r="B8" s="2943" t="s">
        <v>532</v>
      </c>
      <c r="C8" s="522" t="s">
        <v>577</v>
      </c>
      <c r="D8" s="517">
        <v>100</v>
      </c>
      <c r="E8" s="522"/>
      <c r="F8" s="519">
        <f>SUMIF(61:61,E8,62:62)-SUMIF(61:61,C8,62:62)+100</f>
        <v>0</v>
      </c>
      <c r="G8" s="522"/>
      <c r="H8" s="517">
        <f>SUMIF(61:61,G8,62:62)-SUMIF(61:61,C8,62:62)+100</f>
        <v>0</v>
      </c>
      <c r="I8" s="522"/>
      <c r="J8" s="517">
        <f>SUMIF(61:61,I8,62:62)-SUMIF(61:61,C8,62:62)+100</f>
        <v>0</v>
      </c>
      <c r="K8" s="521"/>
      <c r="L8" s="2133"/>
      <c r="M8" s="2134"/>
      <c r="N8" s="2134"/>
      <c r="O8" s="2134"/>
      <c r="P8" s="3376" t="s">
        <v>534</v>
      </c>
      <c r="Q8" s="3377"/>
      <c r="R8" s="1565" t="s">
        <v>8</v>
      </c>
      <c r="S8" s="1566">
        <f t="shared" si="0"/>
        <v>0</v>
      </c>
      <c r="T8" s="1565" t="s">
        <v>8</v>
      </c>
      <c r="U8" s="1566">
        <f t="shared" si="1"/>
        <v>0</v>
      </c>
      <c r="V8" s="1565" t="s">
        <v>8</v>
      </c>
      <c r="W8" s="1566">
        <f t="shared" si="2"/>
        <v>0</v>
      </c>
      <c r="X8" s="1567"/>
      <c r="Y8" s="3376" t="s">
        <v>534</v>
      </c>
      <c r="Z8" s="3377"/>
      <c r="AA8" s="1568" t="e">
        <f t="shared" ref="AA8:AA46" si="3">D8/F8</f>
        <v>#DIV/0!</v>
      </c>
      <c r="AB8" s="1568" t="e">
        <f t="shared" ref="AB8:AB46" si="4">D8/H8</f>
        <v>#DIV/0!</v>
      </c>
      <c r="AC8" s="1568" t="e">
        <f t="shared" ref="AC8:AC46" si="5">D8/J8</f>
        <v>#DIV/0!</v>
      </c>
    </row>
    <row r="9" spans="1:29" s="1216" customFormat="1" ht="15">
      <c r="A9" s="2937"/>
      <c r="B9" s="2944" t="s">
        <v>2765</v>
      </c>
      <c r="C9" s="854"/>
      <c r="D9" s="253">
        <v>100</v>
      </c>
      <c r="E9" s="857"/>
      <c r="F9" s="253">
        <f>SUMIF(63:63,E9,64:64)-SUMIF(63:63,C9,64:64)+100</f>
        <v>100</v>
      </c>
      <c r="G9" s="855"/>
      <c r="H9" s="253">
        <f>SUMIF(63:63,G9,64:64)-SUMIF(63:63,C9,64:64)+100</f>
        <v>100</v>
      </c>
      <c r="I9" s="855"/>
      <c r="J9" s="253">
        <f>SUMIF(63:63,I9,64:64)-SUMIF(63:63,C9,64:64)+100</f>
        <v>100</v>
      </c>
      <c r="K9" s="521"/>
      <c r="L9" s="2133"/>
      <c r="M9" s="2134"/>
      <c r="N9" s="2134"/>
      <c r="O9" s="2135"/>
      <c r="P9" s="3384" t="s">
        <v>536</v>
      </c>
      <c r="Q9" s="1147" t="str">
        <f t="shared" ref="Q9:Q15" si="6">B9</f>
        <v>用途</v>
      </c>
      <c r="R9" s="1565" t="s">
        <v>8</v>
      </c>
      <c r="S9" s="1566">
        <f t="shared" si="0"/>
        <v>100</v>
      </c>
      <c r="T9" s="1565" t="s">
        <v>8</v>
      </c>
      <c r="U9" s="1566">
        <f t="shared" si="1"/>
        <v>100</v>
      </c>
      <c r="V9" s="1565" t="s">
        <v>8</v>
      </c>
      <c r="W9" s="1566">
        <f t="shared" si="2"/>
        <v>100</v>
      </c>
      <c r="X9" s="1567"/>
      <c r="Y9" s="3341"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SUMIF(65:65,E10,66:66)-SUMIF(65:65,C10,66:66)+100</f>
        <v>100</v>
      </c>
      <c r="G10" s="859"/>
      <c r="H10" s="254">
        <f>SUMIF(65:65,G10,66:66)-SUMIF(65:65,C10,66:66)+100</f>
        <v>100</v>
      </c>
      <c r="I10" s="858"/>
      <c r="J10" s="254">
        <f>SUMIF(65:65,I10,66:66)-SUMIF(65:65,C10,66:66)+100</f>
        <v>100</v>
      </c>
      <c r="K10" s="581"/>
      <c r="L10" s="2136"/>
      <c r="M10" s="2176"/>
      <c r="N10" s="2176"/>
      <c r="O10" s="2137"/>
      <c r="P10" s="3384"/>
      <c r="Q10" s="1147" t="str">
        <f t="shared" si="6"/>
        <v>土地使用年限（年）</v>
      </c>
      <c r="R10" s="1565" t="s">
        <v>8</v>
      </c>
      <c r="S10" s="1566">
        <f t="shared" si="0"/>
        <v>100</v>
      </c>
      <c r="T10" s="1565" t="s">
        <v>8</v>
      </c>
      <c r="U10" s="1566">
        <f t="shared" si="1"/>
        <v>100</v>
      </c>
      <c r="V10" s="1565" t="s">
        <v>8</v>
      </c>
      <c r="W10" s="1566">
        <f t="shared" si="2"/>
        <v>100</v>
      </c>
      <c r="X10" s="1567"/>
      <c r="Y10" s="3341"/>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38"/>
      <c r="M11" s="2132"/>
      <c r="N11" s="2132"/>
      <c r="O11" s="2139"/>
      <c r="P11" s="3384"/>
      <c r="Q11" s="1147" t="str">
        <f t="shared" si="6"/>
        <v>容积率</v>
      </c>
      <c r="R11" s="1565" t="s">
        <v>8</v>
      </c>
      <c r="S11" s="1566" t="e">
        <f t="shared" si="0"/>
        <v>#N/A</v>
      </c>
      <c r="T11" s="1565" t="s">
        <v>8</v>
      </c>
      <c r="U11" s="1566" t="e">
        <f t="shared" si="1"/>
        <v>#N/A</v>
      </c>
      <c r="V11" s="1565" t="s">
        <v>8</v>
      </c>
      <c r="W11" s="1566" t="e">
        <f t="shared" si="2"/>
        <v>#N/A</v>
      </c>
      <c r="X11" s="1567"/>
      <c r="Y11" s="3341"/>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SUMIF(70:70,E12,71:71)-SUMIF(70:70,C12,71:71)+100</f>
        <v>100</v>
      </c>
      <c r="G12" s="908"/>
      <c r="H12" s="254">
        <f>SUMIF(70:70,G12,71:71)-SUMIF(70:70,C12,71:71)+100</f>
        <v>100</v>
      </c>
      <c r="I12" s="536"/>
      <c r="J12" s="254">
        <f>SUMIF(70:70,I12,71:71)-SUMIF(70:70,C12,71:71)+100</f>
        <v>100</v>
      </c>
      <c r="K12" s="578"/>
      <c r="L12" s="2133"/>
      <c r="M12" s="2134"/>
      <c r="N12" s="2134"/>
      <c r="O12" s="2135"/>
      <c r="P12" s="3384"/>
      <c r="Q12" s="1147">
        <f t="shared" si="6"/>
        <v>111</v>
      </c>
      <c r="R12" s="1565" t="s">
        <v>8</v>
      </c>
      <c r="S12" s="1566">
        <f t="shared" si="0"/>
        <v>100</v>
      </c>
      <c r="T12" s="1565" t="s">
        <v>8</v>
      </c>
      <c r="U12" s="1566">
        <f t="shared" si="1"/>
        <v>100</v>
      </c>
      <c r="V12" s="1565" t="s">
        <v>8</v>
      </c>
      <c r="W12" s="1566">
        <f t="shared" si="2"/>
        <v>100</v>
      </c>
      <c r="X12" s="1567"/>
      <c r="Y12" s="3341"/>
      <c r="Z12" s="1146">
        <f t="shared" si="7"/>
        <v>111</v>
      </c>
      <c r="AA12" s="1568">
        <f>D12/F12</f>
        <v>1</v>
      </c>
      <c r="AB12" s="1568">
        <f>D12/H12</f>
        <v>1</v>
      </c>
      <c r="AC12" s="1568">
        <f>D12/J12</f>
        <v>1</v>
      </c>
    </row>
    <row r="13" spans="1:29" ht="15">
      <c r="A13" s="2940"/>
      <c r="B13" s="2946">
        <v>111</v>
      </c>
      <c r="C13" s="536"/>
      <c r="D13" s="537">
        <v>100</v>
      </c>
      <c r="E13" s="536"/>
      <c r="F13" s="254">
        <f>SUMIF(72:72,E13,73:73)-SUMIF(72:72,C13,73:73)+100</f>
        <v>100</v>
      </c>
      <c r="G13" s="908"/>
      <c r="H13" s="537">
        <f>SUMIF(72:72,G13,73:73)-SUMIF(72:72,C13,73:73)+100</f>
        <v>100</v>
      </c>
      <c r="I13" s="536"/>
      <c r="J13" s="537">
        <f>SUMIF(72:72,I13,73:73)-SUMIF(72:72,C13,73:73)+100</f>
        <v>100</v>
      </c>
      <c r="K13" s="578"/>
      <c r="L13" s="2140"/>
      <c r="M13" s="2132"/>
      <c r="N13" s="2132"/>
      <c r="O13" s="2139"/>
      <c r="P13" s="3384"/>
      <c r="Q13" s="1147">
        <f t="shared" si="6"/>
        <v>111</v>
      </c>
      <c r="R13" s="1565" t="s">
        <v>8</v>
      </c>
      <c r="S13" s="1566">
        <f t="shared" si="0"/>
        <v>100</v>
      </c>
      <c r="T13" s="1565" t="s">
        <v>8</v>
      </c>
      <c r="U13" s="1566">
        <f t="shared" si="1"/>
        <v>100</v>
      </c>
      <c r="V13" s="1565" t="s">
        <v>8</v>
      </c>
      <c r="W13" s="1566">
        <f t="shared" si="2"/>
        <v>100</v>
      </c>
      <c r="X13" s="1567"/>
      <c r="Y13" s="3341"/>
      <c r="Z13" s="1146">
        <f t="shared" si="7"/>
        <v>111</v>
      </c>
      <c r="AA13" s="1568">
        <f t="shared" si="3"/>
        <v>1</v>
      </c>
      <c r="AB13" s="1568">
        <f t="shared" si="4"/>
        <v>1</v>
      </c>
      <c r="AC13" s="1568">
        <f t="shared" si="5"/>
        <v>1</v>
      </c>
    </row>
    <row r="14" spans="1:29" ht="15.75" thickBot="1">
      <c r="A14" s="2941"/>
      <c r="B14" s="2947">
        <v>111</v>
      </c>
      <c r="C14" s="542"/>
      <c r="D14" s="543">
        <v>100</v>
      </c>
      <c r="E14" s="542"/>
      <c r="F14" s="543">
        <f>SUMIF(74:74,E14,75:75)-SUMIF(74:74,C14,75:75)+100</f>
        <v>100</v>
      </c>
      <c r="G14" s="908"/>
      <c r="H14" s="543">
        <f>SUMIF(74:74,G14,75:75)-SUMIF(74:74,C14,75:75)+100</f>
        <v>100</v>
      </c>
      <c r="I14" s="536"/>
      <c r="J14" s="543">
        <f>SUMIF(74:74,I14,75:75)-SUMIF(74:74,C14,75:75)+100</f>
        <v>100</v>
      </c>
      <c r="K14" s="578"/>
      <c r="L14" s="2140"/>
      <c r="M14" s="2132"/>
      <c r="N14" s="2132"/>
      <c r="O14" s="2139"/>
      <c r="P14" s="3384"/>
      <c r="Q14" s="1147">
        <f t="shared" si="6"/>
        <v>111</v>
      </c>
      <c r="R14" s="1565" t="s">
        <v>8</v>
      </c>
      <c r="S14" s="1566">
        <f t="shared" si="0"/>
        <v>100</v>
      </c>
      <c r="T14" s="1565" t="s">
        <v>8</v>
      </c>
      <c r="U14" s="1566">
        <f t="shared" si="1"/>
        <v>100</v>
      </c>
      <c r="V14" s="1565" t="s">
        <v>8</v>
      </c>
      <c r="W14" s="1566">
        <f t="shared" si="2"/>
        <v>100</v>
      </c>
      <c r="X14" s="1567"/>
      <c r="Y14" s="3341"/>
      <c r="Z14" s="1146">
        <f t="shared" si="7"/>
        <v>111</v>
      </c>
      <c r="AA14" s="1568">
        <f t="shared" si="3"/>
        <v>1</v>
      </c>
      <c r="AB14" s="1568">
        <f t="shared" si="4"/>
        <v>1</v>
      </c>
      <c r="AC14" s="1568">
        <f t="shared" si="5"/>
        <v>1</v>
      </c>
    </row>
    <row r="15" spans="1:29" ht="71.25">
      <c r="A15" s="2933" t="s">
        <v>2763</v>
      </c>
      <c r="B15" s="166" t="s">
        <v>542</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40"/>
      <c r="M15" s="2132"/>
      <c r="N15" s="2132"/>
      <c r="O15" s="2139"/>
      <c r="P15" s="3386" t="s">
        <v>541</v>
      </c>
      <c r="Q15" s="1569" t="str">
        <f t="shared" si="6"/>
        <v>商业繁华度</v>
      </c>
      <c r="R15" s="1570" t="s">
        <v>8</v>
      </c>
      <c r="S15" s="1571">
        <f t="shared" si="0"/>
        <v>100</v>
      </c>
      <c r="T15" s="1570" t="s">
        <v>8</v>
      </c>
      <c r="U15" s="1571">
        <f t="shared" si="1"/>
        <v>100</v>
      </c>
      <c r="V15" s="1570" t="s">
        <v>8</v>
      </c>
      <c r="W15" s="1571">
        <f t="shared" si="2"/>
        <v>100</v>
      </c>
      <c r="X15" s="1564"/>
      <c r="Y15" s="3386" t="s">
        <v>541</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387"/>
      <c r="Q16" s="1569"/>
      <c r="R16" s="1570"/>
      <c r="S16" s="1571"/>
      <c r="T16" s="1570"/>
      <c r="U16" s="1571"/>
      <c r="V16" s="1570"/>
      <c r="W16" s="1571"/>
      <c r="X16" s="1564"/>
      <c r="Y16" s="3387"/>
      <c r="Z16" s="1572"/>
      <c r="AA16" s="1573">
        <v>1</v>
      </c>
      <c r="AB16" s="1573">
        <v>1</v>
      </c>
      <c r="AC16" s="1573">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40"/>
      <c r="M17" s="2132"/>
      <c r="N17" s="2132"/>
      <c r="O17" s="2139"/>
      <c r="P17" s="3387"/>
      <c r="Q17" s="1569" t="str">
        <f>B17</f>
        <v>交通便捷度</v>
      </c>
      <c r="R17" s="1570" t="s">
        <v>8</v>
      </c>
      <c r="S17" s="1571">
        <f>F17</f>
        <v>100</v>
      </c>
      <c r="T17" s="1570" t="s">
        <v>8</v>
      </c>
      <c r="U17" s="1571">
        <f>H17</f>
        <v>100</v>
      </c>
      <c r="V17" s="1570" t="s">
        <v>8</v>
      </c>
      <c r="W17" s="1571">
        <f>J17</f>
        <v>100</v>
      </c>
      <c r="X17" s="1564"/>
      <c r="Y17" s="338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387"/>
      <c r="Q18" s="1569"/>
      <c r="R18" s="1570"/>
      <c r="S18" s="1571"/>
      <c r="T18" s="1570"/>
      <c r="U18" s="1571"/>
      <c r="V18" s="1570"/>
      <c r="W18" s="1571"/>
      <c r="X18" s="1564"/>
      <c r="Y18" s="3387"/>
      <c r="Z18" s="1572"/>
      <c r="AA18" s="1573">
        <v>1</v>
      </c>
      <c r="AB18" s="1573">
        <v>1</v>
      </c>
      <c r="AC18" s="1573">
        <v>1</v>
      </c>
    </row>
    <row r="19" spans="1:29" ht="42.75">
      <c r="A19" s="529"/>
      <c r="B19" s="2622" t="s">
        <v>2553</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40"/>
      <c r="M19" s="2132"/>
      <c r="N19" s="2132"/>
      <c r="O19" s="2139"/>
      <c r="P19" s="3387"/>
      <c r="Q19" s="1569" t="str">
        <f>B19</f>
        <v>公共配套设施</v>
      </c>
      <c r="R19" s="1570" t="s">
        <v>8</v>
      </c>
      <c r="S19" s="1571">
        <f>F19</f>
        <v>100</v>
      </c>
      <c r="T19" s="1570" t="s">
        <v>8</v>
      </c>
      <c r="U19" s="1571">
        <f>H19</f>
        <v>100</v>
      </c>
      <c r="V19" s="1570" t="s">
        <v>8</v>
      </c>
      <c r="W19" s="1571">
        <f>J19</f>
        <v>100</v>
      </c>
      <c r="X19" s="1564"/>
      <c r="Y19" s="3387"/>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5"/>
      <c r="L20" s="2140"/>
      <c r="M20" s="2132"/>
      <c r="N20" s="2132"/>
      <c r="O20" s="2139"/>
      <c r="P20" s="3387"/>
      <c r="Q20" s="1569"/>
      <c r="R20" s="1570"/>
      <c r="S20" s="1571"/>
      <c r="T20" s="1570"/>
      <c r="U20" s="1571"/>
      <c r="V20" s="1570"/>
      <c r="W20" s="1571"/>
      <c r="X20" s="1564"/>
      <c r="Y20" s="3387"/>
      <c r="Z20" s="1572"/>
      <c r="AA20" s="1573">
        <v>1</v>
      </c>
      <c r="AB20" s="1573">
        <v>1</v>
      </c>
      <c r="AC20" s="1573">
        <v>1</v>
      </c>
    </row>
    <row r="21" spans="1:29" ht="28.5">
      <c r="A21" s="529"/>
      <c r="B21" s="2615" t="s">
        <v>2565</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40"/>
      <c r="M21" s="2132"/>
      <c r="N21" s="2132"/>
      <c r="O21" s="2139"/>
      <c r="P21" s="3387"/>
      <c r="Q21" s="2601" t="str">
        <f>B21</f>
        <v>基础设施水平</v>
      </c>
      <c r="R21" s="1570" t="s">
        <v>8</v>
      </c>
      <c r="S21" s="1571">
        <f>F21</f>
        <v>100</v>
      </c>
      <c r="T21" s="1570" t="s">
        <v>8</v>
      </c>
      <c r="U21" s="1571">
        <f>H21</f>
        <v>100</v>
      </c>
      <c r="V21" s="1570" t="s">
        <v>8</v>
      </c>
      <c r="W21" s="1571">
        <f>J21</f>
        <v>100</v>
      </c>
      <c r="X21" s="2603"/>
      <c r="Y21" s="3387"/>
      <c r="Z21" s="2602" t="str">
        <f>Q21</f>
        <v>基础设施水平</v>
      </c>
      <c r="AA21" s="1573">
        <f t="shared" ref="AA21" si="8">D21/F21</f>
        <v>1</v>
      </c>
      <c r="AB21" s="1573">
        <f t="shared" ref="AB21" si="9">D21/H21</f>
        <v>1</v>
      </c>
      <c r="AC21" s="1573">
        <f t="shared" ref="AC21" si="10">D21/J21</f>
        <v>1</v>
      </c>
    </row>
    <row r="22" spans="1:29" ht="15">
      <c r="A22" s="529"/>
      <c r="B22" s="918"/>
      <c r="C22" s="870"/>
      <c r="D22" s="552"/>
      <c r="E22" s="573"/>
      <c r="F22" s="554"/>
      <c r="G22" s="573"/>
      <c r="H22" s="552"/>
      <c r="I22" s="573"/>
      <c r="J22" s="552"/>
      <c r="K22" s="2624"/>
      <c r="L22" s="2140"/>
      <c r="M22" s="2132"/>
      <c r="N22" s="2132"/>
      <c r="O22" s="2139"/>
      <c r="P22" s="3387"/>
      <c r="Q22" s="2601"/>
      <c r="R22" s="1570"/>
      <c r="S22" s="1571"/>
      <c r="T22" s="1570"/>
      <c r="U22" s="1571"/>
      <c r="V22" s="1570"/>
      <c r="W22" s="1571"/>
      <c r="X22" s="2603"/>
      <c r="Y22" s="3387"/>
      <c r="Z22" s="2602"/>
      <c r="AA22" s="1573">
        <v>1</v>
      </c>
      <c r="AB22" s="1573">
        <v>1</v>
      </c>
      <c r="AC22" s="1573">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40"/>
      <c r="M23" s="2132"/>
      <c r="N23" s="2132"/>
      <c r="O23" s="2139"/>
      <c r="P23" s="3387"/>
      <c r="Q23" s="1569" t="str">
        <f>B23</f>
        <v>自然及人文环境</v>
      </c>
      <c r="R23" s="1570" t="s">
        <v>8</v>
      </c>
      <c r="S23" s="1571">
        <f>F23</f>
        <v>100</v>
      </c>
      <c r="T23" s="1570" t="s">
        <v>8</v>
      </c>
      <c r="U23" s="1571">
        <f>H23</f>
        <v>100</v>
      </c>
      <c r="V23" s="1570" t="s">
        <v>8</v>
      </c>
      <c r="W23" s="1571">
        <f>J23</f>
        <v>100</v>
      </c>
      <c r="X23" s="1564"/>
      <c r="Y23" s="3387"/>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5"/>
      <c r="L24" s="2140"/>
      <c r="M24" s="2132"/>
      <c r="N24" s="2132"/>
      <c r="O24" s="2139"/>
      <c r="P24" s="3387"/>
      <c r="Q24" s="1569"/>
      <c r="R24" s="1570"/>
      <c r="S24" s="1571"/>
      <c r="T24" s="1570"/>
      <c r="U24" s="1571"/>
      <c r="V24" s="1570"/>
      <c r="W24" s="1571"/>
      <c r="X24" s="1564"/>
      <c r="Y24" s="3387"/>
      <c r="Z24" s="1572"/>
      <c r="AA24" s="1573">
        <v>1</v>
      </c>
      <c r="AB24" s="1573">
        <v>1</v>
      </c>
      <c r="AC24" s="1573">
        <v>1</v>
      </c>
    </row>
    <row r="25" spans="1:29" ht="15">
      <c r="A25" s="529"/>
      <c r="B25" s="524" t="s">
        <v>548</v>
      </c>
      <c r="C25" s="580"/>
      <c r="D25" s="537">
        <v>100</v>
      </c>
      <c r="E25" s="580"/>
      <c r="F25" s="572">
        <f>SUMIF(86:86,E25,87:87)-SUMIF(86:86,C25,87:87)+100</f>
        <v>100</v>
      </c>
      <c r="G25" s="580"/>
      <c r="H25" s="537">
        <f>SUMIF(86:86,G25,87:87)-SUMIF(86:86,C25,87:87)+100</f>
        <v>100</v>
      </c>
      <c r="I25" s="580"/>
      <c r="J25" s="537">
        <f>SUMIF(86:86,I25,87:87)-SUMIF(86:86,C25,87:87)+100</f>
        <v>100</v>
      </c>
      <c r="K25" s="581"/>
      <c r="L25" s="2140"/>
      <c r="M25" s="2132"/>
      <c r="N25" s="2132"/>
      <c r="O25" s="2139"/>
      <c r="P25" s="3387"/>
      <c r="Q25" s="1569" t="str">
        <f t="shared" ref="Q25:Q46" si="11">B25</f>
        <v>临街状况</v>
      </c>
      <c r="R25" s="1570" t="s">
        <v>8</v>
      </c>
      <c r="S25" s="1571">
        <f>F25</f>
        <v>100</v>
      </c>
      <c r="T25" s="1570" t="s">
        <v>8</v>
      </c>
      <c r="U25" s="1571">
        <f>H25</f>
        <v>100</v>
      </c>
      <c r="V25" s="1570" t="s">
        <v>8</v>
      </c>
      <c r="W25" s="1571">
        <f>J25</f>
        <v>100</v>
      </c>
      <c r="X25" s="1564"/>
      <c r="Y25" s="3387"/>
      <c r="Z25" s="1572" t="str">
        <f>Q25</f>
        <v>临街状况</v>
      </c>
      <c r="AA25" s="1573">
        <f t="shared" si="3"/>
        <v>1</v>
      </c>
      <c r="AB25" s="1573">
        <f t="shared" si="4"/>
        <v>1</v>
      </c>
      <c r="AC25" s="1573">
        <f t="shared" si="5"/>
        <v>1</v>
      </c>
    </row>
    <row r="26" spans="1:29" ht="15">
      <c r="A26" s="529"/>
      <c r="B26" s="874" t="s">
        <v>759</v>
      </c>
      <c r="C26" s="536"/>
      <c r="D26" s="537">
        <v>100</v>
      </c>
      <c r="E26" s="536"/>
      <c r="F26" s="572">
        <f>SUMIF(88:88,E26,89:89)-SUMIF(88:88,C26,89:89)+100</f>
        <v>100</v>
      </c>
      <c r="G26" s="536"/>
      <c r="H26" s="537">
        <f>SUMIF(88:88,G26,89:89)-SUMIF(88:88,C26,89:89)+100</f>
        <v>100</v>
      </c>
      <c r="I26" s="536"/>
      <c r="J26" s="537">
        <f>SUMIF(88:88,I26,89:89)-SUMIF(88:88,C26,89:89)+100</f>
        <v>100</v>
      </c>
      <c r="K26" s="578"/>
      <c r="L26" s="2140"/>
      <c r="M26" s="2132"/>
      <c r="N26" s="2132"/>
      <c r="O26" s="2139"/>
      <c r="P26" s="3387"/>
      <c r="Q26" s="1569" t="str">
        <f t="shared" si="11"/>
        <v>平面位置/可视性</v>
      </c>
      <c r="R26" s="1570" t="s">
        <v>8</v>
      </c>
      <c r="S26" s="1571">
        <f>F26</f>
        <v>100</v>
      </c>
      <c r="T26" s="1570" t="s">
        <v>8</v>
      </c>
      <c r="U26" s="1571">
        <f>H26</f>
        <v>100</v>
      </c>
      <c r="V26" s="1570" t="s">
        <v>8</v>
      </c>
      <c r="W26" s="1571">
        <f>J26</f>
        <v>100</v>
      </c>
      <c r="X26" s="1564"/>
      <c r="Y26" s="3387"/>
      <c r="Z26" s="1572" t="str">
        <f>Q26</f>
        <v>平面位置/可视性</v>
      </c>
      <c r="AA26" s="1573">
        <f t="shared" si="3"/>
        <v>1</v>
      </c>
      <c r="AB26" s="1573">
        <f t="shared" si="4"/>
        <v>1</v>
      </c>
      <c r="AC26" s="1573">
        <f t="shared" si="5"/>
        <v>1</v>
      </c>
    </row>
    <row r="27" spans="1:29" s="1216" customFormat="1" ht="15">
      <c r="A27" s="533"/>
      <c r="B27" s="868" t="s">
        <v>760</v>
      </c>
      <c r="C27" s="897"/>
      <c r="D27" s="872">
        <v>100</v>
      </c>
      <c r="E27" s="897"/>
      <c r="F27" s="873">
        <f>SUMIF(90:90,E27,91:91)-SUMIF(90:90,C27,91:91)+100</f>
        <v>100</v>
      </c>
      <c r="G27" s="897"/>
      <c r="H27" s="872">
        <f>SUMIF(90:90,G27,91:91)-SUMIF(90:90,C27,91:91)+100</f>
        <v>100</v>
      </c>
      <c r="I27" s="897"/>
      <c r="J27" s="872">
        <f>SUMIF(90:90,I27,91:91)-SUMIF(90:90,C27,91:91)+100</f>
        <v>100</v>
      </c>
      <c r="K27" s="581"/>
      <c r="L27" s="2133"/>
      <c r="M27" s="2134"/>
      <c r="N27" s="2134"/>
      <c r="O27" s="2135"/>
      <c r="P27" s="3387"/>
      <c r="Q27" s="1147" t="str">
        <f t="shared" si="11"/>
        <v>人流量</v>
      </c>
      <c r="R27" s="1565" t="s">
        <v>8</v>
      </c>
      <c r="S27" s="1566">
        <f>F27</f>
        <v>100</v>
      </c>
      <c r="T27" s="1565" t="s">
        <v>8</v>
      </c>
      <c r="U27" s="1566">
        <f>H27</f>
        <v>100</v>
      </c>
      <c r="V27" s="1565" t="s">
        <v>8</v>
      </c>
      <c r="W27" s="1566">
        <f>J27</f>
        <v>100</v>
      </c>
      <c r="X27" s="1567"/>
      <c r="Y27" s="3387"/>
      <c r="Z27" s="1146" t="str">
        <f>Q27</f>
        <v>人流量</v>
      </c>
      <c r="AA27" s="1573">
        <f>D27/F27</f>
        <v>1</v>
      </c>
      <c r="AB27" s="1573">
        <f>D27/H27</f>
        <v>1</v>
      </c>
      <c r="AC27" s="1573">
        <f>D27/J27</f>
        <v>1</v>
      </c>
    </row>
    <row r="28" spans="1:29" ht="15">
      <c r="A28" s="529"/>
      <c r="B28" s="524" t="s">
        <v>762</v>
      </c>
      <c r="C28" s="580"/>
      <c r="D28" s="537">
        <v>100</v>
      </c>
      <c r="E28" s="580"/>
      <c r="F28" s="572">
        <f>SUMIF(92:92,E28,93:93)-SUMIF(92:92,C28,93:93)+100</f>
        <v>100</v>
      </c>
      <c r="G28" s="580"/>
      <c r="H28" s="537">
        <f>SUMIF(92:92,G28,93:93)-SUMIF(92:92,C28,93:93)+100</f>
        <v>100</v>
      </c>
      <c r="I28" s="580"/>
      <c r="J28" s="537">
        <f>SUMIF(92:92,I28,93:93)-SUMIF(92:92,C28,93:93)+100</f>
        <v>100</v>
      </c>
      <c r="K28" s="578"/>
      <c r="L28" s="2140"/>
      <c r="M28" s="2132"/>
      <c r="N28" s="2132"/>
      <c r="O28" s="2139"/>
      <c r="P28" s="338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87"/>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0"/>
      <c r="M29" s="2132"/>
      <c r="N29" s="2132"/>
      <c r="O29" s="2139"/>
      <c r="P29" s="3387"/>
      <c r="Q29" s="1569">
        <f t="shared" si="11"/>
        <v>111</v>
      </c>
      <c r="R29" s="1570" t="s">
        <v>8</v>
      </c>
      <c r="S29" s="1571">
        <f t="shared" si="12"/>
        <v>100</v>
      </c>
      <c r="T29" s="1570" t="s">
        <v>8</v>
      </c>
      <c r="U29" s="1571">
        <f t="shared" si="13"/>
        <v>100</v>
      </c>
      <c r="V29" s="1570" t="s">
        <v>8</v>
      </c>
      <c r="W29" s="1571">
        <f t="shared" si="14"/>
        <v>100</v>
      </c>
      <c r="X29" s="1564"/>
      <c r="Y29" s="3387"/>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0"/>
      <c r="M30" s="2132"/>
      <c r="N30" s="2132"/>
      <c r="O30" s="2139"/>
      <c r="P30" s="3387"/>
      <c r="Q30" s="1569">
        <f t="shared" si="11"/>
        <v>111</v>
      </c>
      <c r="R30" s="1570" t="s">
        <v>8</v>
      </c>
      <c r="S30" s="1571">
        <f t="shared" si="12"/>
        <v>100</v>
      </c>
      <c r="T30" s="1570" t="s">
        <v>8</v>
      </c>
      <c r="U30" s="1571">
        <f t="shared" si="13"/>
        <v>100</v>
      </c>
      <c r="V30" s="1570" t="s">
        <v>8</v>
      </c>
      <c r="W30" s="1571">
        <f t="shared" si="14"/>
        <v>100</v>
      </c>
      <c r="X30" s="1564"/>
      <c r="Y30" s="3387"/>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0"/>
      <c r="M31" s="2132"/>
      <c r="N31" s="2132"/>
      <c r="O31" s="2139"/>
      <c r="P31" s="3387"/>
      <c r="Q31" s="1569">
        <f t="shared" si="11"/>
        <v>111</v>
      </c>
      <c r="R31" s="1570" t="s">
        <v>8</v>
      </c>
      <c r="S31" s="1571">
        <f t="shared" si="12"/>
        <v>100</v>
      </c>
      <c r="T31" s="1570" t="s">
        <v>8</v>
      </c>
      <c r="U31" s="1571">
        <f t="shared" si="13"/>
        <v>100</v>
      </c>
      <c r="V31" s="1570" t="s">
        <v>8</v>
      </c>
      <c r="W31" s="1571">
        <f t="shared" si="14"/>
        <v>100</v>
      </c>
      <c r="X31" s="1564"/>
      <c r="Y31" s="3387"/>
      <c r="Z31" s="1572">
        <f t="shared" si="15"/>
        <v>111</v>
      </c>
      <c r="AA31" s="1573">
        <f t="shared" si="3"/>
        <v>1</v>
      </c>
      <c r="AB31" s="1573">
        <f t="shared" si="4"/>
        <v>1</v>
      </c>
      <c r="AC31" s="1573">
        <f t="shared" si="5"/>
        <v>1</v>
      </c>
    </row>
    <row r="32" spans="1:29" ht="15">
      <c r="A32" s="2931" t="s">
        <v>2764</v>
      </c>
      <c r="B32" s="172" t="s">
        <v>763</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0"/>
      <c r="M32" s="2132"/>
      <c r="N32" s="2132"/>
      <c r="O32" s="2139"/>
      <c r="P32" s="3388" t="s">
        <v>551</v>
      </c>
      <c r="Q32" s="1569" t="str">
        <f t="shared" si="11"/>
        <v>商业类型</v>
      </c>
      <c r="R32" s="1570" t="s">
        <v>8</v>
      </c>
      <c r="S32" s="1571">
        <f t="shared" si="12"/>
        <v>100</v>
      </c>
      <c r="T32" s="1570" t="s">
        <v>8</v>
      </c>
      <c r="U32" s="1571">
        <f t="shared" si="13"/>
        <v>100</v>
      </c>
      <c r="V32" s="1570" t="s">
        <v>8</v>
      </c>
      <c r="W32" s="1571">
        <f t="shared" si="14"/>
        <v>100</v>
      </c>
      <c r="X32" s="1564"/>
      <c r="Y32" s="3389" t="s">
        <v>551</v>
      </c>
      <c r="Z32" s="1572" t="str">
        <f t="shared" si="15"/>
        <v>商业类型</v>
      </c>
      <c r="AA32" s="1573">
        <f t="shared" si="3"/>
        <v>1</v>
      </c>
      <c r="AB32" s="1573">
        <f t="shared" si="4"/>
        <v>1</v>
      </c>
      <c r="AC32" s="1573">
        <f t="shared" si="5"/>
        <v>1</v>
      </c>
    </row>
    <row r="33" spans="1:29" s="1335" customFormat="1" ht="15">
      <c r="A33" s="600"/>
      <c r="B33" s="524" t="s">
        <v>727</v>
      </c>
      <c r="C33" s="876"/>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38"/>
      <c r="M33" s="2169"/>
      <c r="N33" s="2169"/>
      <c r="O33" s="2141"/>
      <c r="P33" s="3389"/>
      <c r="Q33" s="1602" t="str">
        <f t="shared" si="11"/>
        <v>项目建筑规模</v>
      </c>
      <c r="R33" s="1574" t="s">
        <v>8</v>
      </c>
      <c r="S33" s="1575" t="e">
        <f t="shared" si="12"/>
        <v>#N/A</v>
      </c>
      <c r="T33" s="1574" t="s">
        <v>8</v>
      </c>
      <c r="U33" s="1575" t="e">
        <f t="shared" si="13"/>
        <v>#N/A</v>
      </c>
      <c r="V33" s="1574" t="s">
        <v>8</v>
      </c>
      <c r="W33" s="1575" t="e">
        <f t="shared" si="14"/>
        <v>#N/A</v>
      </c>
      <c r="X33" s="1576"/>
      <c r="Y33" s="3389"/>
      <c r="Z33" s="1577" t="str">
        <f t="shared" si="15"/>
        <v>项目建筑规模</v>
      </c>
      <c r="AA33" s="1573" t="e">
        <f t="shared" si="3"/>
        <v>#N/A</v>
      </c>
      <c r="AB33" s="1573" t="e">
        <f t="shared" si="4"/>
        <v>#N/A</v>
      </c>
      <c r="AC33" s="1573" t="e">
        <f t="shared" si="5"/>
        <v>#N/A</v>
      </c>
    </row>
    <row r="34" spans="1:29" ht="15">
      <c r="A34" s="591"/>
      <c r="B34" s="524" t="s">
        <v>728</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40"/>
      <c r="M34" s="2132"/>
      <c r="N34" s="2132"/>
      <c r="O34" s="2139"/>
      <c r="P34" s="3389"/>
      <c r="Q34" s="1569" t="str">
        <f t="shared" si="11"/>
        <v>建筑结构</v>
      </c>
      <c r="R34" s="1570" t="s">
        <v>8</v>
      </c>
      <c r="S34" s="1571">
        <f t="shared" si="12"/>
        <v>100</v>
      </c>
      <c r="T34" s="1570" t="s">
        <v>8</v>
      </c>
      <c r="U34" s="1571">
        <f t="shared" si="13"/>
        <v>100</v>
      </c>
      <c r="V34" s="1570" t="s">
        <v>8</v>
      </c>
      <c r="W34" s="1571">
        <f t="shared" si="14"/>
        <v>100</v>
      </c>
      <c r="X34" s="1564"/>
      <c r="Y34" s="3389"/>
      <c r="Z34" s="1572" t="str">
        <f t="shared" si="15"/>
        <v>建筑结构</v>
      </c>
      <c r="AA34" s="1573">
        <f t="shared" si="3"/>
        <v>1</v>
      </c>
      <c r="AB34" s="1573">
        <f t="shared" si="4"/>
        <v>1</v>
      </c>
      <c r="AC34" s="1573">
        <f t="shared" si="5"/>
        <v>1</v>
      </c>
    </row>
    <row r="35" spans="1:29" ht="15">
      <c r="A35" s="591"/>
      <c r="B35" s="524" t="s">
        <v>764</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0"/>
      <c r="M35" s="2132"/>
      <c r="N35" s="2132"/>
      <c r="O35" s="2139"/>
      <c r="P35" s="3389"/>
      <c r="Q35" s="1569" t="str">
        <f t="shared" si="11"/>
        <v>公共部分装修</v>
      </c>
      <c r="R35" s="1570" t="s">
        <v>8</v>
      </c>
      <c r="S35" s="1571">
        <f t="shared" si="12"/>
        <v>100</v>
      </c>
      <c r="T35" s="1570" t="s">
        <v>8</v>
      </c>
      <c r="U35" s="1571">
        <f t="shared" si="13"/>
        <v>100</v>
      </c>
      <c r="V35" s="1570" t="s">
        <v>8</v>
      </c>
      <c r="W35" s="1571">
        <f t="shared" si="14"/>
        <v>100</v>
      </c>
      <c r="X35" s="1564"/>
      <c r="Y35" s="3389"/>
      <c r="Z35" s="1572" t="str">
        <f t="shared" si="15"/>
        <v>公共部分装修</v>
      </c>
      <c r="AA35" s="1573">
        <f t="shared" si="3"/>
        <v>1</v>
      </c>
      <c r="AB35" s="1573">
        <f t="shared" si="4"/>
        <v>1</v>
      </c>
      <c r="AC35" s="1573">
        <f t="shared" si="5"/>
        <v>1</v>
      </c>
    </row>
    <row r="36" spans="1:29" ht="15">
      <c r="A36" s="591"/>
      <c r="B36" s="524" t="s">
        <v>765</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40"/>
      <c r="M36" s="2132"/>
      <c r="N36" s="2132"/>
      <c r="O36" s="2139"/>
      <c r="P36" s="3389"/>
      <c r="Q36" s="1569" t="str">
        <f t="shared" si="11"/>
        <v>成新度</v>
      </c>
      <c r="R36" s="1570" t="s">
        <v>8</v>
      </c>
      <c r="S36" s="1571" t="e">
        <f t="shared" si="12"/>
        <v>#N/A</v>
      </c>
      <c r="T36" s="1570" t="s">
        <v>8</v>
      </c>
      <c r="U36" s="1571" t="e">
        <f t="shared" si="13"/>
        <v>#N/A</v>
      </c>
      <c r="V36" s="1570" t="s">
        <v>8</v>
      </c>
      <c r="W36" s="1571" t="e">
        <f t="shared" si="14"/>
        <v>#N/A</v>
      </c>
      <c r="X36" s="1564"/>
      <c r="Y36" s="3389"/>
      <c r="Z36" s="1572" t="str">
        <f t="shared" si="15"/>
        <v>成新度</v>
      </c>
      <c r="AA36" s="1573" t="e">
        <f t="shared" si="3"/>
        <v>#N/A</v>
      </c>
      <c r="AB36" s="1573" t="e">
        <f t="shared" si="4"/>
        <v>#N/A</v>
      </c>
      <c r="AC36" s="1573" t="e">
        <f t="shared" si="5"/>
        <v>#N/A</v>
      </c>
    </row>
    <row r="37" spans="1:29" s="1216" customFormat="1" ht="15">
      <c r="A37" s="597"/>
      <c r="B37" s="1893" t="s">
        <v>2572</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33"/>
      <c r="M37" s="2134"/>
      <c r="N37" s="2134"/>
      <c r="O37" s="2135"/>
      <c r="P37" s="3389"/>
      <c r="Q37" s="1147" t="str">
        <f t="shared" si="11"/>
        <v>市政基础设施</v>
      </c>
      <c r="R37" s="1565" t="s">
        <v>8</v>
      </c>
      <c r="S37" s="1566">
        <f t="shared" si="12"/>
        <v>100</v>
      </c>
      <c r="T37" s="1565" t="s">
        <v>8</v>
      </c>
      <c r="U37" s="1566">
        <f t="shared" si="13"/>
        <v>100</v>
      </c>
      <c r="V37" s="1565" t="s">
        <v>8</v>
      </c>
      <c r="W37" s="1566">
        <f t="shared" si="14"/>
        <v>100</v>
      </c>
      <c r="X37" s="1567"/>
      <c r="Y37" s="3389"/>
      <c r="Z37" s="1146" t="str">
        <f t="shared" si="15"/>
        <v>市政基础设施</v>
      </c>
      <c r="AA37" s="1568">
        <f t="shared" si="3"/>
        <v>1</v>
      </c>
      <c r="AB37" s="1568">
        <f t="shared" si="4"/>
        <v>1</v>
      </c>
      <c r="AC37" s="1568">
        <f t="shared" si="5"/>
        <v>1</v>
      </c>
    </row>
    <row r="38" spans="1:29" ht="15">
      <c r="A38" s="591"/>
      <c r="B38" s="524" t="s">
        <v>766</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0"/>
      <c r="M38" s="2132"/>
      <c r="N38" s="2132"/>
      <c r="O38" s="2139"/>
      <c r="P38" s="3389" t="s">
        <v>767</v>
      </c>
      <c r="Q38" s="1569" t="str">
        <f t="shared" si="11"/>
        <v>业态</v>
      </c>
      <c r="R38" s="1570" t="s">
        <v>8</v>
      </c>
      <c r="S38" s="1571">
        <f t="shared" si="12"/>
        <v>100</v>
      </c>
      <c r="T38" s="1570" t="s">
        <v>8</v>
      </c>
      <c r="U38" s="1571">
        <f t="shared" si="13"/>
        <v>100</v>
      </c>
      <c r="V38" s="1570" t="s">
        <v>8</v>
      </c>
      <c r="W38" s="1571">
        <f t="shared" si="14"/>
        <v>100</v>
      </c>
      <c r="X38" s="1564"/>
      <c r="Y38" s="3389" t="s">
        <v>767</v>
      </c>
      <c r="Z38" s="1572" t="str">
        <f t="shared" si="15"/>
        <v>业态</v>
      </c>
      <c r="AA38" s="1573">
        <f t="shared" si="3"/>
        <v>1</v>
      </c>
      <c r="AB38" s="1573">
        <f t="shared" si="4"/>
        <v>1</v>
      </c>
      <c r="AC38" s="1573">
        <f t="shared" si="5"/>
        <v>1</v>
      </c>
    </row>
    <row r="39" spans="1:29" ht="15">
      <c r="A39" s="591"/>
      <c r="B39" s="524" t="s">
        <v>768</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0"/>
      <c r="M39" s="2132"/>
      <c r="N39" s="2132"/>
      <c r="O39" s="2139"/>
      <c r="P39" s="3389"/>
      <c r="Q39" s="1569" t="str">
        <f t="shared" si="11"/>
        <v>层高</v>
      </c>
      <c r="R39" s="1570" t="s">
        <v>8</v>
      </c>
      <c r="S39" s="1571">
        <f t="shared" si="12"/>
        <v>100</v>
      </c>
      <c r="T39" s="1570" t="s">
        <v>8</v>
      </c>
      <c r="U39" s="1571">
        <f t="shared" si="13"/>
        <v>100</v>
      </c>
      <c r="V39" s="1570" t="s">
        <v>8</v>
      </c>
      <c r="W39" s="1571">
        <f t="shared" si="14"/>
        <v>100</v>
      </c>
      <c r="X39" s="1564"/>
      <c r="Y39" s="3389"/>
      <c r="Z39" s="1572" t="str">
        <f t="shared" si="15"/>
        <v>层高</v>
      </c>
      <c r="AA39" s="1573">
        <f t="shared" si="3"/>
        <v>1</v>
      </c>
      <c r="AB39" s="1573">
        <f t="shared" si="4"/>
        <v>1</v>
      </c>
      <c r="AC39" s="1573">
        <f t="shared" si="5"/>
        <v>1</v>
      </c>
    </row>
    <row r="40" spans="1:29" ht="15">
      <c r="A40" s="591"/>
      <c r="B40" s="524" t="s">
        <v>769</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40"/>
      <c r="M40" s="2132"/>
      <c r="N40" s="2132"/>
      <c r="O40" s="2139"/>
      <c r="P40" s="3389"/>
      <c r="Q40" s="1569" t="str">
        <f t="shared" si="11"/>
        <v>单套建筑面积</v>
      </c>
      <c r="R40" s="1570" t="s">
        <v>8</v>
      </c>
      <c r="S40" s="1571">
        <f t="shared" si="12"/>
        <v>100</v>
      </c>
      <c r="T40" s="1570" t="s">
        <v>8</v>
      </c>
      <c r="U40" s="1571">
        <f t="shared" si="13"/>
        <v>100</v>
      </c>
      <c r="V40" s="1570" t="s">
        <v>8</v>
      </c>
      <c r="W40" s="1571">
        <f t="shared" si="14"/>
        <v>100</v>
      </c>
      <c r="X40" s="1564"/>
      <c r="Y40" s="3389"/>
      <c r="Z40" s="1572" t="str">
        <f t="shared" si="15"/>
        <v>单套建筑面积</v>
      </c>
      <c r="AA40" s="1573">
        <f t="shared" si="3"/>
        <v>1</v>
      </c>
      <c r="AB40" s="1573">
        <f t="shared" si="4"/>
        <v>1</v>
      </c>
      <c r="AC40" s="1573">
        <f t="shared" si="5"/>
        <v>1</v>
      </c>
    </row>
    <row r="41" spans="1:29" s="1335" customFormat="1" ht="15">
      <c r="A41" s="600"/>
      <c r="B41" s="900" t="s">
        <v>770</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8"/>
      <c r="M41" s="2169"/>
      <c r="N41" s="2169"/>
      <c r="O41" s="2141"/>
      <c r="P41" s="3389"/>
      <c r="Q41" s="1602" t="str">
        <f t="shared" si="11"/>
        <v>进深比</v>
      </c>
      <c r="R41" s="1574" t="s">
        <v>8</v>
      </c>
      <c r="S41" s="1575">
        <f t="shared" si="12"/>
        <v>100</v>
      </c>
      <c r="T41" s="1574" t="s">
        <v>8</v>
      </c>
      <c r="U41" s="1575">
        <f t="shared" si="13"/>
        <v>100</v>
      </c>
      <c r="V41" s="1574" t="s">
        <v>8</v>
      </c>
      <c r="W41" s="1575">
        <f t="shared" si="14"/>
        <v>100</v>
      </c>
      <c r="X41" s="1576"/>
      <c r="Y41" s="3389"/>
      <c r="Z41" s="1577" t="str">
        <f t="shared" si="15"/>
        <v>进深比</v>
      </c>
      <c r="AA41" s="1573">
        <f t="shared" si="3"/>
        <v>1</v>
      </c>
      <c r="AB41" s="1573">
        <f t="shared" si="4"/>
        <v>1</v>
      </c>
      <c r="AC41" s="1573">
        <f t="shared" si="5"/>
        <v>1</v>
      </c>
    </row>
    <row r="42" spans="1:29" ht="15">
      <c r="A42" s="591"/>
      <c r="B42" s="524" t="s">
        <v>771</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0"/>
      <c r="M42" s="2132"/>
      <c r="N42" s="2132"/>
      <c r="O42" s="2139"/>
      <c r="P42" s="3389"/>
      <c r="Q42" s="1569" t="str">
        <f t="shared" si="11"/>
        <v>内部装修</v>
      </c>
      <c r="R42" s="1570" t="s">
        <v>8</v>
      </c>
      <c r="S42" s="1571">
        <f t="shared" si="12"/>
        <v>100</v>
      </c>
      <c r="T42" s="1570" t="s">
        <v>8</v>
      </c>
      <c r="U42" s="1571">
        <f t="shared" si="13"/>
        <v>100</v>
      </c>
      <c r="V42" s="1570" t="s">
        <v>8</v>
      </c>
      <c r="W42" s="1571">
        <f t="shared" si="14"/>
        <v>100</v>
      </c>
      <c r="X42" s="1564"/>
      <c r="Y42" s="3389"/>
      <c r="Z42" s="1572" t="str">
        <f t="shared" si="15"/>
        <v>内部装修</v>
      </c>
      <c r="AA42" s="1573">
        <f t="shared" si="3"/>
        <v>1</v>
      </c>
      <c r="AB42" s="1573">
        <f t="shared" si="4"/>
        <v>1</v>
      </c>
      <c r="AC42" s="1573">
        <f t="shared" si="5"/>
        <v>1</v>
      </c>
    </row>
    <row r="43" spans="1:29" ht="27">
      <c r="A43" s="591"/>
      <c r="B43" s="524" t="s">
        <v>736</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0"/>
      <c r="M43" s="2132"/>
      <c r="N43" s="2132"/>
      <c r="O43" s="2139"/>
      <c r="P43" s="3389"/>
      <c r="Q43" s="1569" t="str">
        <f t="shared" si="11"/>
        <v>内部装修维护情况</v>
      </c>
      <c r="R43" s="1570" t="s">
        <v>8</v>
      </c>
      <c r="S43" s="1571">
        <f t="shared" si="12"/>
        <v>100</v>
      </c>
      <c r="T43" s="1570" t="s">
        <v>8</v>
      </c>
      <c r="U43" s="1571">
        <f t="shared" si="13"/>
        <v>100</v>
      </c>
      <c r="V43" s="1570" t="s">
        <v>8</v>
      </c>
      <c r="W43" s="1571">
        <f t="shared" si="14"/>
        <v>100</v>
      </c>
      <c r="X43" s="1564"/>
      <c r="Y43" s="3389"/>
      <c r="Z43" s="1572" t="str">
        <f t="shared" si="15"/>
        <v>内部装修维护情况</v>
      </c>
      <c r="AA43" s="1573">
        <f t="shared" si="3"/>
        <v>1</v>
      </c>
      <c r="AB43" s="1573">
        <f t="shared" si="4"/>
        <v>1</v>
      </c>
      <c r="AC43" s="1573">
        <f t="shared" si="5"/>
        <v>1</v>
      </c>
    </row>
    <row r="44" spans="1:29" s="1216" customFormat="1" ht="15">
      <c r="A44" s="597"/>
      <c r="B44" s="874">
        <v>111</v>
      </c>
      <c r="C44" s="876"/>
      <c r="D44" s="254">
        <v>100</v>
      </c>
      <c r="E44" s="536"/>
      <c r="F44" s="860">
        <f>SUMIF(126:126,E44,127:127)-SUMIF(126:126,C44,127:127)+100</f>
        <v>100</v>
      </c>
      <c r="G44" s="536"/>
      <c r="H44" s="254">
        <f>SUMIF(126:126,G44,127:127)-SUMIF(126:126,C44,127:127)+100</f>
        <v>100</v>
      </c>
      <c r="I44" s="536"/>
      <c r="J44" s="254">
        <f>SUMIF(126:126,I44,127:127)-SUMIF(126:126,C44,127:127)+100</f>
        <v>100</v>
      </c>
      <c r="K44" s="578"/>
      <c r="L44" s="2133"/>
      <c r="M44" s="2134"/>
      <c r="N44" s="2134"/>
      <c r="O44" s="2135"/>
      <c r="P44" s="3389"/>
      <c r="Q44" s="1147">
        <f t="shared" si="11"/>
        <v>111</v>
      </c>
      <c r="R44" s="1565" t="s">
        <v>8</v>
      </c>
      <c r="S44" s="1566">
        <f t="shared" si="12"/>
        <v>100</v>
      </c>
      <c r="T44" s="1565" t="s">
        <v>8</v>
      </c>
      <c r="U44" s="1566">
        <f t="shared" si="13"/>
        <v>100</v>
      </c>
      <c r="V44" s="1565" t="s">
        <v>8</v>
      </c>
      <c r="W44" s="1566">
        <f t="shared" si="14"/>
        <v>100</v>
      </c>
      <c r="X44" s="1567"/>
      <c r="Y44" s="3389"/>
      <c r="Z44" s="1146">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0"/>
      <c r="M45" s="2132"/>
      <c r="N45" s="2132"/>
      <c r="O45" s="2139"/>
      <c r="P45" s="3389"/>
      <c r="Q45" s="1569">
        <f t="shared" si="11"/>
        <v>111</v>
      </c>
      <c r="R45" s="1570" t="s">
        <v>8</v>
      </c>
      <c r="S45" s="1571">
        <f t="shared" si="12"/>
        <v>100</v>
      </c>
      <c r="T45" s="1570" t="s">
        <v>8</v>
      </c>
      <c r="U45" s="1571">
        <f t="shared" si="13"/>
        <v>100</v>
      </c>
      <c r="V45" s="1570" t="s">
        <v>8</v>
      </c>
      <c r="W45" s="1571">
        <f t="shared" si="14"/>
        <v>100</v>
      </c>
      <c r="X45" s="1564"/>
      <c r="Y45" s="3389"/>
      <c r="Z45" s="1572">
        <f t="shared" si="15"/>
        <v>111</v>
      </c>
      <c r="AA45" s="1573">
        <f t="shared" si="3"/>
        <v>1</v>
      </c>
      <c r="AB45" s="1573">
        <f t="shared" si="4"/>
        <v>1</v>
      </c>
      <c r="AC45" s="1573">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0"/>
      <c r="M46" s="2132"/>
      <c r="N46" s="2132"/>
      <c r="O46" s="2139"/>
      <c r="P46" s="3467"/>
      <c r="Q46" s="1569">
        <f t="shared" si="11"/>
        <v>111</v>
      </c>
      <c r="R46" s="1570" t="s">
        <v>8</v>
      </c>
      <c r="S46" s="1571">
        <f t="shared" si="12"/>
        <v>100</v>
      </c>
      <c r="T46" s="1570" t="s">
        <v>8</v>
      </c>
      <c r="U46" s="1571">
        <f t="shared" si="13"/>
        <v>100</v>
      </c>
      <c r="V46" s="1570" t="s">
        <v>8</v>
      </c>
      <c r="W46" s="1571">
        <f t="shared" si="14"/>
        <v>100</v>
      </c>
      <c r="X46" s="1564"/>
      <c r="Y46" s="3467"/>
      <c r="Z46" s="1572">
        <f t="shared" si="15"/>
        <v>111</v>
      </c>
      <c r="AA46" s="1573">
        <f t="shared" si="3"/>
        <v>1</v>
      </c>
      <c r="AB46" s="1573">
        <f t="shared" si="4"/>
        <v>1</v>
      </c>
      <c r="AC46" s="1573">
        <f t="shared" si="5"/>
        <v>1</v>
      </c>
    </row>
    <row r="47" spans="1:29" ht="15">
      <c r="A47" s="604" t="s">
        <v>737</v>
      </c>
      <c r="B47" s="883"/>
      <c r="C47" s="2649" t="s">
        <v>1</v>
      </c>
      <c r="D47" s="2650"/>
      <c r="E47" s="2651"/>
      <c r="F47" s="2652"/>
      <c r="G47" s="2653"/>
      <c r="H47" s="2654"/>
      <c r="I47" s="2651"/>
      <c r="J47" s="2654"/>
      <c r="K47" s="1608"/>
      <c r="L47" s="2142"/>
      <c r="M47" s="2143"/>
      <c r="N47" s="2132"/>
      <c r="O47" s="2143"/>
      <c r="P47" s="3384" t="str">
        <f>A47</f>
        <v>成交单价（元/平方米）</v>
      </c>
      <c r="Q47" s="3384"/>
      <c r="R47" s="3466">
        <f>E47</f>
        <v>0</v>
      </c>
      <c r="S47" s="3466"/>
      <c r="T47" s="3466">
        <f>G47</f>
        <v>0</v>
      </c>
      <c r="U47" s="3466"/>
      <c r="V47" s="3466">
        <f>I47</f>
        <v>0</v>
      </c>
      <c r="W47" s="3466"/>
      <c r="X47" s="1556"/>
      <c r="Y47" s="1578"/>
      <c r="Z47" s="1556"/>
      <c r="AA47" s="1556"/>
      <c r="AB47" s="1556"/>
      <c r="AC47" s="1556"/>
    </row>
    <row r="48" spans="1:29" ht="15.75" thickBot="1">
      <c r="A48" s="612" t="s">
        <v>2769</v>
      </c>
      <c r="B48" s="884"/>
      <c r="C48" s="2655" t="e">
        <f>R49</f>
        <v>#DIV/0!</v>
      </c>
      <c r="D48" s="2656"/>
      <c r="E48" s="2657" t="e">
        <f>R48</f>
        <v>#DIV/0!</v>
      </c>
      <c r="F48" s="2657"/>
      <c r="G48" s="2655" t="e">
        <f>T48</f>
        <v>#DIV/0!</v>
      </c>
      <c r="H48" s="2656"/>
      <c r="I48" s="2657" t="e">
        <f>V48</f>
        <v>#DIV/0!</v>
      </c>
      <c r="J48" s="2656"/>
      <c r="K48" s="1609"/>
      <c r="L48" s="2142"/>
      <c r="M48" s="2143"/>
      <c r="N48" s="2132"/>
      <c r="O48" s="2143"/>
      <c r="P48" s="3384" t="str">
        <f>A48</f>
        <v>比较价格（元/平方米）</v>
      </c>
      <c r="Q48" s="3384"/>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56"/>
      <c r="Y48" s="1556"/>
      <c r="Z48" s="1556"/>
      <c r="AA48" s="1556"/>
      <c r="AB48" s="1556"/>
      <c r="AC48" s="1556"/>
    </row>
    <row r="49" spans="1:29" ht="15.75" thickBot="1">
      <c r="A49" s="618" t="s">
        <v>2946</v>
      </c>
      <c r="B49" s="619"/>
      <c r="C49" s="2658" t="e">
        <f>R49</f>
        <v>#DIV/0!</v>
      </c>
      <c r="D49" s="2658"/>
      <c r="E49" s="2658"/>
      <c r="F49" s="2658"/>
      <c r="G49" s="2658"/>
      <c r="H49" s="2658"/>
      <c r="I49" s="2658"/>
      <c r="J49" s="2658"/>
      <c r="K49" s="1610"/>
      <c r="L49" s="2142"/>
      <c r="M49" s="2143"/>
      <c r="N49" s="2132"/>
      <c r="O49" s="2143"/>
      <c r="P49" s="3406" t="str">
        <f>A49</f>
        <v>估价对象XX用房的比较价格（楼面单价，元/平方米）</v>
      </c>
      <c r="Q49" s="3407"/>
      <c r="R49" s="3465" t="e">
        <f>IF(F1="售价",ROUND(AVERAGE(R48:V48),0),ROUND(AVERAGE(R48:V48),1))</f>
        <v>#DIV/0!</v>
      </c>
      <c r="S49" s="3465"/>
      <c r="T49" s="3465"/>
      <c r="U49" s="3465"/>
      <c r="V49" s="3465"/>
      <c r="W49" s="3465"/>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1" t="s">
        <v>560</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2" t="s">
        <v>530</v>
      </c>
      <c r="B58" s="643"/>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8"/>
      <c r="Q58" s="2159"/>
      <c r="R58" s="2159"/>
      <c r="S58" s="2159"/>
      <c r="T58" s="2159"/>
      <c r="U58" s="2159"/>
      <c r="V58" s="2159"/>
      <c r="W58" s="2159"/>
      <c r="X58" s="2159"/>
      <c r="Y58" s="2159"/>
      <c r="Z58" s="2159"/>
      <c r="AA58" s="2159"/>
      <c r="AB58" s="2159"/>
      <c r="AC58" s="2159"/>
    </row>
    <row r="59" spans="1:29" s="1216" customFormat="1" ht="15">
      <c r="A59" s="644"/>
      <c r="B59" s="645"/>
      <c r="C59" s="646">
        <v>100</v>
      </c>
      <c r="D59" s="647"/>
      <c r="E59" s="647"/>
      <c r="F59" s="647"/>
      <c r="G59" s="647"/>
      <c r="H59" s="647"/>
      <c r="I59" s="647"/>
      <c r="J59" s="647"/>
      <c r="K59" s="647"/>
      <c r="L59" s="647"/>
      <c r="M59" s="648"/>
      <c r="N59" s="647"/>
      <c r="O59" s="649"/>
      <c r="P59" s="2156"/>
      <c r="Q59" s="1991"/>
      <c r="R59" s="1991"/>
      <c r="S59" s="1991"/>
      <c r="T59" s="1991"/>
      <c r="U59" s="1991"/>
      <c r="V59" s="1991"/>
      <c r="W59" s="1991"/>
      <c r="X59" s="1991"/>
      <c r="Y59" s="1991"/>
      <c r="Z59" s="1991"/>
      <c r="AA59" s="1991"/>
      <c r="AB59" s="1991"/>
      <c r="AC59" s="1991"/>
    </row>
    <row r="60" spans="1:29" s="1216" customFormat="1" ht="15.75" thickBot="1">
      <c r="A60" s="650" t="s">
        <v>576</v>
      </c>
      <c r="B60" s="651"/>
      <c r="C60" s="652"/>
      <c r="D60" s="653"/>
      <c r="E60" s="653"/>
      <c r="F60" s="653"/>
      <c r="G60" s="653"/>
      <c r="H60" s="653"/>
      <c r="I60" s="653"/>
      <c r="J60" s="653"/>
      <c r="K60" s="653"/>
      <c r="L60" s="653"/>
      <c r="M60" s="654"/>
      <c r="N60" s="653"/>
      <c r="O60" s="655"/>
      <c r="P60" s="2156"/>
      <c r="Q60" s="2156"/>
      <c r="R60" s="1991"/>
      <c r="S60" s="1991"/>
      <c r="T60" s="1991"/>
      <c r="U60" s="1991"/>
      <c r="V60" s="1991"/>
      <c r="W60" s="1991"/>
      <c r="X60" s="1991"/>
      <c r="Y60" s="1991"/>
      <c r="Z60" s="1991"/>
      <c r="AA60" s="1991"/>
      <c r="AB60" s="1991"/>
      <c r="AC60" s="1991"/>
    </row>
    <row r="61" spans="1:29" s="1216" customFormat="1" ht="15">
      <c r="A61" s="656" t="s">
        <v>532</v>
      </c>
      <c r="B61" s="645"/>
      <c r="C61" s="657" t="s">
        <v>577</v>
      </c>
      <c r="D61" s="658"/>
      <c r="E61" s="658"/>
      <c r="F61" s="658"/>
      <c r="G61" s="658"/>
      <c r="H61" s="658"/>
      <c r="I61" s="658"/>
      <c r="J61" s="658"/>
      <c r="K61" s="658"/>
      <c r="L61" s="659"/>
      <c r="M61" s="660"/>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6"/>
      <c r="B62" s="645"/>
      <c r="C62" s="885">
        <v>100</v>
      </c>
      <c r="D62" s="647"/>
      <c r="E62" s="647"/>
      <c r="F62" s="647"/>
      <c r="G62" s="647"/>
      <c r="H62" s="647"/>
      <c r="I62" s="647"/>
      <c r="J62" s="647"/>
      <c r="K62" s="647"/>
      <c r="L62" s="647"/>
      <c r="M62" s="649"/>
      <c r="N62" s="2160"/>
      <c r="O62" s="2160"/>
      <c r="P62" s="2156"/>
      <c r="Q62" s="2156"/>
      <c r="R62" s="1991"/>
      <c r="S62" s="1991"/>
      <c r="T62" s="1991"/>
      <c r="U62" s="1991"/>
      <c r="V62" s="1991"/>
      <c r="W62" s="1991"/>
      <c r="X62" s="1991"/>
      <c r="Y62" s="1991"/>
      <c r="Z62" s="1991"/>
      <c r="AA62" s="1991"/>
      <c r="AB62" s="1991"/>
      <c r="AC62" s="1201"/>
    </row>
    <row r="63" spans="1:29">
      <c r="A63" s="661" t="s">
        <v>578</v>
      </c>
      <c r="B63" s="662" t="s">
        <v>535</v>
      </c>
      <c r="C63" s="701">
        <f>C9</f>
        <v>0</v>
      </c>
      <c r="D63" s="595"/>
      <c r="E63" s="595"/>
      <c r="F63" s="595"/>
      <c r="G63" s="595"/>
      <c r="H63" s="595"/>
      <c r="I63" s="595"/>
      <c r="J63" s="595"/>
      <c r="K63" s="663"/>
      <c r="L63" s="664"/>
      <c r="M63" s="665"/>
      <c r="N63" s="2162"/>
      <c r="O63" s="2162"/>
      <c r="P63" s="2163"/>
      <c r="Q63" s="2156"/>
      <c r="R63" s="2143"/>
      <c r="S63" s="2143"/>
      <c r="T63" s="2143"/>
      <c r="U63" s="2143"/>
      <c r="V63" s="2143"/>
      <c r="W63" s="2143"/>
      <c r="X63" s="2143"/>
      <c r="Y63" s="2143"/>
      <c r="Z63" s="2143"/>
      <c r="AA63" s="2143"/>
      <c r="AB63" s="2143"/>
      <c r="AC63" s="2143"/>
    </row>
    <row r="64" spans="1:29" ht="15.75" thickBot="1">
      <c r="A64" s="666"/>
      <c r="B64" s="667"/>
      <c r="C64" s="668"/>
      <c r="D64" s="668"/>
      <c r="E64" s="668"/>
      <c r="F64" s="668"/>
      <c r="G64" s="668"/>
      <c r="H64" s="668"/>
      <c r="I64" s="668"/>
      <c r="J64" s="668"/>
      <c r="K64" s="668"/>
      <c r="L64" s="668"/>
      <c r="M64" s="669"/>
      <c r="N64" s="2164"/>
      <c r="O64" s="2164"/>
      <c r="P64" s="2163"/>
      <c r="Q64" s="2156"/>
      <c r="R64" s="2143"/>
      <c r="S64" s="2143"/>
      <c r="T64" s="2143"/>
      <c r="U64" s="2143"/>
      <c r="V64" s="2143"/>
      <c r="W64" s="2143"/>
      <c r="X64" s="2143"/>
      <c r="Y64" s="2143"/>
      <c r="Z64" s="2143"/>
      <c r="AA64" s="2143"/>
      <c r="AB64" s="2143"/>
      <c r="AC64" s="2143"/>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678" t="s">
        <v>539</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6"/>
      <c r="B68" s="680"/>
      <c r="C68" s="538"/>
      <c r="D68" s="538"/>
      <c r="E68" s="538"/>
      <c r="F68" s="538"/>
      <c r="G68" s="538"/>
      <c r="H68" s="538"/>
      <c r="I68" s="538"/>
      <c r="J68" s="538"/>
      <c r="K68" s="681"/>
      <c r="L68" s="682"/>
      <c r="M68" s="683"/>
      <c r="N68" s="2162"/>
      <c r="O68" s="2162"/>
      <c r="P68" s="2163"/>
      <c r="Q68" s="2156"/>
      <c r="R68" s="2143"/>
      <c r="S68" s="2143"/>
      <c r="T68" s="2143"/>
      <c r="U68" s="2143"/>
      <c r="V68" s="2143"/>
      <c r="W68" s="2143"/>
      <c r="X68" s="2143"/>
      <c r="Y68" s="2143"/>
      <c r="Z68" s="2143"/>
      <c r="AA68" s="2143"/>
      <c r="AB68" s="2143"/>
      <c r="AC68" s="2143"/>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4"/>
      <c r="B70" s="670">
        <f>B12</f>
        <v>111</v>
      </c>
      <c r="C70" s="685"/>
      <c r="D70" s="685"/>
      <c r="E70" s="685"/>
      <c r="F70" s="685"/>
      <c r="G70" s="685"/>
      <c r="H70" s="686"/>
      <c r="I70" s="686"/>
      <c r="J70" s="686"/>
      <c r="K70" s="686"/>
      <c r="L70" s="687"/>
      <c r="M70" s="688"/>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4"/>
      <c r="B71" s="675"/>
      <c r="C71" s="689"/>
      <c r="D71" s="668"/>
      <c r="E71" s="668"/>
      <c r="F71" s="668"/>
      <c r="G71" s="668"/>
      <c r="H71" s="668"/>
      <c r="I71" s="668"/>
      <c r="J71" s="668"/>
      <c r="K71" s="668"/>
      <c r="L71" s="668"/>
      <c r="M71" s="669"/>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4"/>
      <c r="B72" s="670">
        <f>B13</f>
        <v>111</v>
      </c>
      <c r="C72" s="685"/>
      <c r="D72" s="685"/>
      <c r="E72" s="685"/>
      <c r="F72" s="685"/>
      <c r="G72" s="685"/>
      <c r="H72" s="686"/>
      <c r="I72" s="686"/>
      <c r="J72" s="686"/>
      <c r="K72" s="686"/>
      <c r="L72" s="687"/>
      <c r="M72" s="688"/>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4"/>
      <c r="B73" s="675"/>
      <c r="C73" s="689"/>
      <c r="D73" s="668"/>
      <c r="E73" s="668"/>
      <c r="F73" s="668"/>
      <c r="G73" s="689"/>
      <c r="H73" s="690"/>
      <c r="I73" s="690"/>
      <c r="J73" s="690"/>
      <c r="K73" s="690"/>
      <c r="L73" s="690"/>
      <c r="M73" s="691"/>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4"/>
      <c r="B74" s="678">
        <f>B14</f>
        <v>111</v>
      </c>
      <c r="C74" s="685"/>
      <c r="D74" s="685"/>
      <c r="E74" s="685"/>
      <c r="F74" s="685"/>
      <c r="G74" s="658"/>
      <c r="H74" s="692"/>
      <c r="I74" s="692"/>
      <c r="J74" s="692"/>
      <c r="K74" s="692"/>
      <c r="L74" s="693"/>
      <c r="M74" s="694"/>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5"/>
      <c r="B75" s="696"/>
      <c r="C75" s="697"/>
      <c r="D75" s="697"/>
      <c r="E75" s="697"/>
      <c r="F75" s="697"/>
      <c r="G75" s="697"/>
      <c r="H75" s="698"/>
      <c r="I75" s="698"/>
      <c r="J75" s="698"/>
      <c r="K75" s="698"/>
      <c r="L75" s="698"/>
      <c r="M75" s="699"/>
      <c r="N75" s="2165"/>
      <c r="O75" s="2165"/>
      <c r="P75" s="2166"/>
      <c r="Q75" s="2167"/>
      <c r="R75" s="2168"/>
      <c r="S75" s="2168"/>
      <c r="T75" s="2168"/>
      <c r="U75" s="2168"/>
      <c r="V75" s="2168"/>
      <c r="W75" s="2168"/>
      <c r="X75" s="2168"/>
      <c r="Y75" s="2168"/>
      <c r="Z75" s="2168"/>
      <c r="AA75" s="2168"/>
      <c r="AB75" s="2168"/>
      <c r="AC75" s="2168"/>
    </row>
    <row r="76" spans="1:29">
      <c r="A76" s="661" t="s">
        <v>540</v>
      </c>
      <c r="B76" s="662" t="s">
        <v>579</v>
      </c>
      <c r="C76" s="700" t="s">
        <v>580</v>
      </c>
      <c r="D76" s="700" t="s">
        <v>581</v>
      </c>
      <c r="E76" s="700" t="s">
        <v>582</v>
      </c>
      <c r="F76" s="700" t="s">
        <v>583</v>
      </c>
      <c r="G76" s="700" t="s">
        <v>584</v>
      </c>
      <c r="H76" s="701"/>
      <c r="I76" s="701"/>
      <c r="J76" s="701"/>
      <c r="K76" s="702"/>
      <c r="L76" s="703"/>
      <c r="M76" s="704"/>
      <c r="N76" s="2162"/>
      <c r="O76" s="2162"/>
      <c r="P76" s="2172"/>
      <c r="Q76" s="2156"/>
      <c r="R76" s="2143"/>
      <c r="S76" s="2143"/>
      <c r="T76" s="2143"/>
      <c r="U76" s="2143"/>
      <c r="V76" s="2143"/>
      <c r="W76" s="2143"/>
      <c r="X76" s="2143"/>
      <c r="Y76" s="2143"/>
      <c r="Z76" s="2143"/>
      <c r="AA76" s="2143"/>
      <c r="AB76" s="2143"/>
      <c r="AC76" s="2143"/>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587</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ht="15.75" thickTop="1">
      <c r="A80" s="666"/>
      <c r="B80" s="1894" t="s">
        <v>2564</v>
      </c>
      <c r="C80" s="705" t="s">
        <v>580</v>
      </c>
      <c r="D80" s="705" t="s">
        <v>581</v>
      </c>
      <c r="E80" s="705" t="s">
        <v>582</v>
      </c>
      <c r="F80" s="705" t="s">
        <v>583</v>
      </c>
      <c r="G80" s="705" t="s">
        <v>584</v>
      </c>
      <c r="H80" s="671"/>
      <c r="I80" s="671"/>
      <c r="J80" s="671"/>
      <c r="K80" s="672"/>
      <c r="L80" s="673"/>
      <c r="M80" s="674"/>
      <c r="N80" s="2162"/>
      <c r="O80" s="2162"/>
      <c r="P80" s="2163"/>
      <c r="Q80" s="2156"/>
      <c r="R80" s="2143"/>
      <c r="S80" s="2143"/>
      <c r="T80" s="2143"/>
      <c r="U80" s="2143"/>
      <c r="V80" s="2143"/>
      <c r="W80" s="2143"/>
      <c r="X80" s="2143"/>
      <c r="Y80" s="2143"/>
      <c r="Z80" s="2143"/>
      <c r="AA80" s="2143"/>
      <c r="AB80" s="2143"/>
      <c r="AC80" s="2143"/>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4"/>
      <c r="O81" s="2164"/>
      <c r="P81" s="2163"/>
      <c r="Q81" s="2156"/>
      <c r="R81" s="2143"/>
      <c r="S81" s="2143"/>
      <c r="T81" s="2143"/>
      <c r="U81" s="2143"/>
      <c r="V81" s="2143"/>
      <c r="W81" s="2143"/>
      <c r="X81" s="2143"/>
      <c r="Y81" s="2143"/>
      <c r="Z81" s="2143"/>
      <c r="AA81" s="2143"/>
      <c r="AB81" s="2143"/>
      <c r="AC81" s="2143"/>
    </row>
    <row r="82" spans="1:29" ht="15.75" thickTop="1">
      <c r="A82" s="666"/>
      <c r="B82" s="2619" t="s">
        <v>2565</v>
      </c>
      <c r="C82" s="2620" t="s">
        <v>2566</v>
      </c>
      <c r="D82" s="2620" t="s">
        <v>2567</v>
      </c>
      <c r="E82" s="2620" t="s">
        <v>2568</v>
      </c>
      <c r="F82" s="2620" t="s">
        <v>2569</v>
      </c>
      <c r="G82" s="2620" t="s">
        <v>2570</v>
      </c>
      <c r="H82" s="671"/>
      <c r="I82" s="671"/>
      <c r="J82" s="671"/>
      <c r="K82" s="671"/>
      <c r="L82" s="671"/>
      <c r="M82" s="2623"/>
      <c r="N82" s="2164"/>
      <c r="O82" s="2164"/>
      <c r="P82" s="2163"/>
      <c r="Q82" s="2156"/>
      <c r="R82" s="2143"/>
      <c r="S82" s="2143"/>
      <c r="T82" s="2143"/>
      <c r="U82" s="2143"/>
      <c r="V82" s="2143"/>
      <c r="W82" s="2143"/>
      <c r="X82" s="2143"/>
      <c r="Y82" s="2143"/>
      <c r="Z82" s="2143"/>
      <c r="AA82" s="2143"/>
      <c r="AB82" s="2143"/>
      <c r="AC82" s="2143"/>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64"/>
      <c r="O83" s="2164"/>
      <c r="P83" s="2163"/>
      <c r="Q83" s="2156"/>
      <c r="R83" s="2143"/>
      <c r="S83" s="2143"/>
      <c r="T83" s="2143"/>
      <c r="U83" s="2143"/>
      <c r="V83" s="2143"/>
      <c r="W83" s="2143"/>
      <c r="X83" s="2143"/>
      <c r="Y83" s="2143"/>
      <c r="Z83" s="2143"/>
      <c r="AA83" s="2143"/>
      <c r="AB83" s="2143"/>
      <c r="AC83" s="2143"/>
    </row>
    <row r="84" spans="1:29" ht="15.75" thickTop="1">
      <c r="A84" s="666"/>
      <c r="B84" s="670" t="s">
        <v>745</v>
      </c>
      <c r="C84" s="705" t="s">
        <v>580</v>
      </c>
      <c r="D84" s="705" t="s">
        <v>581</v>
      </c>
      <c r="E84" s="705" t="s">
        <v>582</v>
      </c>
      <c r="F84" s="705" t="s">
        <v>583</v>
      </c>
      <c r="G84" s="705" t="s">
        <v>584</v>
      </c>
      <c r="H84" s="671"/>
      <c r="I84" s="671"/>
      <c r="J84" s="671"/>
      <c r="K84" s="672"/>
      <c r="L84" s="673"/>
      <c r="M84" s="674"/>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6"/>
      <c r="B86" s="670" t="s">
        <v>772</v>
      </c>
      <c r="C86" s="685"/>
      <c r="D86" s="685"/>
      <c r="E86" s="685"/>
      <c r="F86" s="685"/>
      <c r="G86" s="685"/>
      <c r="H86" s="685"/>
      <c r="I86" s="685"/>
      <c r="J86" s="685"/>
      <c r="K86" s="685"/>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6"/>
      <c r="B88" s="670" t="str">
        <f>B26</f>
        <v>平面位置/可视性</v>
      </c>
      <c r="C88" s="685"/>
      <c r="D88" s="685"/>
      <c r="E88" s="685"/>
      <c r="F88" s="888"/>
      <c r="G88" s="685"/>
      <c r="H88" s="685"/>
      <c r="I88" s="685"/>
      <c r="J88" s="685"/>
      <c r="K88" s="685"/>
      <c r="L88" s="685"/>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6"/>
      <c r="B89" s="675"/>
      <c r="C89" s="689"/>
      <c r="D89" s="668"/>
      <c r="E89" s="668"/>
      <c r="F89" s="668"/>
      <c r="G89" s="668"/>
      <c r="H89" s="668"/>
      <c r="I89" s="668"/>
      <c r="J89" s="668"/>
      <c r="K89" s="668"/>
      <c r="L89" s="668"/>
      <c r="M89" s="668"/>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4"/>
      <c r="B90" s="670" t="str">
        <f>B27</f>
        <v>人流量</v>
      </c>
      <c r="C90" s="685"/>
      <c r="D90" s="685"/>
      <c r="E90" s="685"/>
      <c r="F90" s="685"/>
      <c r="G90" s="685"/>
      <c r="H90" s="686"/>
      <c r="I90" s="686"/>
      <c r="J90" s="686"/>
      <c r="K90" s="686"/>
      <c r="L90" s="687"/>
      <c r="M90" s="688"/>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6"/>
      <c r="B92" s="670" t="str">
        <f>B28</f>
        <v>楼层</v>
      </c>
      <c r="C92" s="685"/>
      <c r="D92" s="685"/>
      <c r="E92" s="685"/>
      <c r="F92" s="685"/>
      <c r="G92" s="685"/>
      <c r="H92" s="685"/>
      <c r="I92" s="685"/>
      <c r="J92" s="685"/>
      <c r="K92" s="685"/>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6"/>
      <c r="B93" s="675"/>
      <c r="C93" s="668"/>
      <c r="D93" s="668"/>
      <c r="E93" s="668"/>
      <c r="F93" s="668"/>
      <c r="G93" s="668"/>
      <c r="H93" s="668"/>
      <c r="I93" s="668"/>
      <c r="J93" s="668"/>
      <c r="K93" s="668"/>
      <c r="L93" s="668"/>
      <c r="M93" s="669"/>
      <c r="N93" s="2164"/>
      <c r="O93" s="2164"/>
      <c r="P93" s="2163"/>
      <c r="Q93" s="2156"/>
      <c r="R93" s="2143"/>
      <c r="S93" s="2143"/>
      <c r="T93" s="2143"/>
      <c r="U93" s="2143"/>
      <c r="V93" s="2143"/>
      <c r="W93" s="2143"/>
      <c r="X93" s="2143"/>
      <c r="Y93" s="2143"/>
      <c r="Z93" s="2143"/>
      <c r="AA93" s="2143"/>
      <c r="AB93" s="2143"/>
      <c r="AC93" s="2143"/>
    </row>
    <row r="94" spans="1:29" ht="15.75" thickTop="1">
      <c r="A94" s="666"/>
      <c r="B94" s="670">
        <f>B29</f>
        <v>111</v>
      </c>
      <c r="C94" s="685"/>
      <c r="D94" s="685"/>
      <c r="E94" s="685"/>
      <c r="F94" s="685"/>
      <c r="G94" s="715"/>
      <c r="H94" s="715"/>
      <c r="I94" s="715"/>
      <c r="J94" s="715"/>
      <c r="K94" s="716"/>
      <c r="L94" s="717"/>
      <c r="M94" s="718"/>
      <c r="N94" s="2162"/>
      <c r="O94" s="2162"/>
      <c r="P94" s="2163"/>
      <c r="Q94" s="2156"/>
      <c r="R94" s="2143"/>
      <c r="S94" s="2143"/>
      <c r="T94" s="2143"/>
      <c r="U94" s="2143"/>
      <c r="V94" s="2143"/>
      <c r="W94" s="2143"/>
      <c r="X94" s="2143"/>
      <c r="Y94" s="2143"/>
      <c r="Z94" s="2143"/>
      <c r="AA94" s="2143"/>
      <c r="AB94" s="2143"/>
      <c r="AC94" s="2143"/>
    </row>
    <row r="95" spans="1:29" ht="15.75" thickBot="1">
      <c r="A95" s="666"/>
      <c r="B95" s="675"/>
      <c r="C95" s="689"/>
      <c r="D95" s="668"/>
      <c r="E95" s="668"/>
      <c r="F95" s="668"/>
      <c r="G95" s="668"/>
      <c r="H95" s="668"/>
      <c r="I95" s="668"/>
      <c r="J95" s="668"/>
      <c r="K95" s="668"/>
      <c r="L95" s="668"/>
      <c r="M95" s="669"/>
      <c r="N95" s="2164"/>
      <c r="O95" s="2164"/>
      <c r="P95" s="2163"/>
      <c r="Q95" s="2156"/>
      <c r="R95" s="2143"/>
      <c r="S95" s="2143"/>
      <c r="T95" s="2143"/>
      <c r="U95" s="2143"/>
      <c r="V95" s="2143"/>
      <c r="W95" s="2143"/>
      <c r="X95" s="2143"/>
      <c r="Y95" s="2143"/>
      <c r="Z95" s="2143"/>
      <c r="AA95" s="2143"/>
      <c r="AB95" s="2143"/>
      <c r="AC95" s="2143"/>
    </row>
    <row r="96" spans="1:29" ht="15.75" thickTop="1">
      <c r="A96" s="666"/>
      <c r="B96" s="670">
        <f>B30</f>
        <v>111</v>
      </c>
      <c r="C96" s="685"/>
      <c r="D96" s="685"/>
      <c r="E96" s="685"/>
      <c r="F96" s="685"/>
      <c r="G96" s="715"/>
      <c r="H96" s="715"/>
      <c r="I96" s="715"/>
      <c r="J96" s="715"/>
      <c r="K96" s="716"/>
      <c r="L96" s="717"/>
      <c r="M96" s="718"/>
      <c r="N96" s="2162"/>
      <c r="O96" s="2162"/>
      <c r="P96" s="2163"/>
      <c r="Q96" s="2156"/>
      <c r="R96" s="2143"/>
      <c r="S96" s="2143"/>
      <c r="T96" s="2143"/>
      <c r="U96" s="2143"/>
      <c r="V96" s="2143"/>
      <c r="W96" s="2143"/>
      <c r="X96" s="2143"/>
      <c r="Y96" s="2143"/>
      <c r="Z96" s="2143"/>
      <c r="AA96" s="2143"/>
      <c r="AB96" s="2143"/>
      <c r="AC96" s="2143"/>
    </row>
    <row r="97" spans="1:29" ht="15.75" thickBot="1">
      <c r="A97" s="666"/>
      <c r="B97" s="675"/>
      <c r="C97" s="689"/>
      <c r="D97" s="668"/>
      <c r="E97" s="668"/>
      <c r="F97" s="668"/>
      <c r="G97" s="668"/>
      <c r="H97" s="668"/>
      <c r="I97" s="668"/>
      <c r="J97" s="668"/>
      <c r="K97" s="668"/>
      <c r="L97" s="668"/>
      <c r="M97" s="669"/>
      <c r="N97" s="2164"/>
      <c r="O97" s="2164"/>
      <c r="P97" s="2163"/>
      <c r="Q97" s="2156"/>
      <c r="R97" s="2143"/>
      <c r="S97" s="2143"/>
      <c r="T97" s="2143"/>
      <c r="U97" s="2143"/>
      <c r="V97" s="2143"/>
      <c r="W97" s="2143"/>
      <c r="X97" s="2143"/>
      <c r="Y97" s="2143"/>
      <c r="Z97" s="2143"/>
      <c r="AA97" s="2143"/>
      <c r="AB97" s="2143"/>
      <c r="AC97" s="2143"/>
    </row>
    <row r="98" spans="1:29" ht="15.75" thickTop="1">
      <c r="A98" s="666"/>
      <c r="B98" s="678">
        <f>B31</f>
        <v>111</v>
      </c>
      <c r="C98" s="685"/>
      <c r="D98" s="685"/>
      <c r="E98" s="685"/>
      <c r="F98" s="685"/>
      <c r="G98" s="719"/>
      <c r="H98" s="719"/>
      <c r="I98" s="719"/>
      <c r="J98" s="719"/>
      <c r="K98" s="720"/>
      <c r="L98" s="721"/>
      <c r="M98" s="722"/>
      <c r="N98" s="2162"/>
      <c r="O98" s="2162"/>
      <c r="P98" s="2163"/>
      <c r="Q98" s="2156"/>
      <c r="R98" s="2143"/>
      <c r="S98" s="2143"/>
      <c r="T98" s="2143"/>
      <c r="U98" s="2143"/>
      <c r="V98" s="2143"/>
      <c r="W98" s="2143"/>
      <c r="X98" s="2143"/>
      <c r="Y98" s="2143"/>
      <c r="Z98" s="2143"/>
      <c r="AA98" s="2143"/>
      <c r="AB98" s="2143"/>
      <c r="AC98" s="2143"/>
    </row>
    <row r="99" spans="1:29" ht="15.75" thickBot="1">
      <c r="A99" s="889"/>
      <c r="B99" s="696"/>
      <c r="C99" s="697"/>
      <c r="D99" s="697"/>
      <c r="E99" s="697"/>
      <c r="F99" s="697"/>
      <c r="G99" s="723"/>
      <c r="H99" s="723"/>
      <c r="I99" s="723"/>
      <c r="J99" s="723"/>
      <c r="K99" s="723"/>
      <c r="L99" s="723"/>
      <c r="M99" s="724"/>
      <c r="N99" s="2164"/>
      <c r="O99" s="2164"/>
      <c r="P99" s="2163"/>
      <c r="Q99" s="2156"/>
      <c r="R99" s="2143"/>
      <c r="S99" s="2143"/>
      <c r="T99" s="2143"/>
      <c r="U99" s="2143"/>
      <c r="V99" s="2143"/>
      <c r="W99" s="2143"/>
      <c r="X99" s="2143"/>
      <c r="Y99" s="2143"/>
      <c r="Z99" s="2143"/>
      <c r="AA99" s="2143"/>
      <c r="AB99" s="2143"/>
      <c r="AC99" s="2143"/>
    </row>
    <row r="100" spans="1:29">
      <c r="A100" s="661" t="s">
        <v>552</v>
      </c>
      <c r="B100" s="662" t="s">
        <v>773</v>
      </c>
      <c r="C100" s="595"/>
      <c r="D100" s="595"/>
      <c r="E100" s="595"/>
      <c r="F100" s="595"/>
      <c r="G100" s="595"/>
      <c r="H100" s="595"/>
      <c r="I100" s="595"/>
      <c r="J100" s="595"/>
      <c r="K100" s="663"/>
      <c r="L100" s="664"/>
      <c r="M100" s="665"/>
      <c r="N100" s="2162"/>
      <c r="O100" s="2162"/>
      <c r="P100" s="2163"/>
      <c r="Q100" s="2156"/>
      <c r="R100" s="2143"/>
      <c r="S100" s="2143"/>
      <c r="T100" s="2143"/>
      <c r="U100" s="2143"/>
      <c r="V100" s="2143"/>
      <c r="W100" s="2143"/>
      <c r="X100" s="2143"/>
      <c r="Y100" s="2143"/>
      <c r="Z100" s="2143"/>
      <c r="AA100" s="2143"/>
      <c r="AB100" s="2143"/>
      <c r="AC100" s="2143"/>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6"/>
      <c r="B102" s="670" t="s">
        <v>749</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5"/>
      <c r="B103" s="726"/>
      <c r="C103" s="727"/>
      <c r="D103" s="727"/>
      <c r="E103" s="727"/>
      <c r="F103" s="727"/>
      <c r="G103" s="727"/>
      <c r="H103" s="727"/>
      <c r="I103" s="727"/>
      <c r="J103" s="728"/>
      <c r="K103" s="728"/>
      <c r="L103" s="729"/>
      <c r="M103" s="730"/>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4"/>
      <c r="B104" s="675"/>
      <c r="C104" s="689"/>
      <c r="D104" s="668"/>
      <c r="E104" s="668"/>
      <c r="F104" s="668"/>
      <c r="G104" s="668"/>
      <c r="H104" s="668"/>
      <c r="I104" s="668"/>
      <c r="J104" s="668"/>
      <c r="K104" s="668"/>
      <c r="L104" s="668"/>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2"/>
      <c r="B105" s="670" t="s">
        <v>750</v>
      </c>
      <c r="C105" s="685"/>
      <c r="D105" s="685"/>
      <c r="E105" s="715"/>
      <c r="F105" s="715"/>
      <c r="G105" s="715"/>
      <c r="H105" s="715"/>
      <c r="I105" s="715"/>
      <c r="J105" s="715"/>
      <c r="K105" s="716"/>
      <c r="L105" s="717"/>
      <c r="M105" s="718"/>
      <c r="N105" s="2162"/>
      <c r="O105" s="2162"/>
      <c r="P105" s="2163"/>
      <c r="Q105" s="2156"/>
      <c r="R105" s="2143"/>
      <c r="S105" s="2143"/>
      <c r="T105" s="2143"/>
      <c r="U105" s="2143"/>
      <c r="V105" s="2143"/>
      <c r="W105" s="2143"/>
      <c r="X105" s="2143"/>
      <c r="Y105" s="2143"/>
      <c r="Z105" s="2143"/>
      <c r="AA105" s="2143"/>
      <c r="AB105" s="2143"/>
      <c r="AC105" s="2143"/>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2"/>
      <c r="B107" s="670" t="s">
        <v>752</v>
      </c>
      <c r="C107" s="685"/>
      <c r="D107" s="685"/>
      <c r="E107" s="685"/>
      <c r="F107" s="715"/>
      <c r="G107" s="715"/>
      <c r="H107" s="715"/>
      <c r="I107" s="715"/>
      <c r="J107" s="715"/>
      <c r="K107" s="716"/>
      <c r="L107" s="717"/>
      <c r="M107" s="718"/>
      <c r="N107" s="2162"/>
      <c r="O107" s="2162"/>
      <c r="P107" s="2163"/>
      <c r="Q107" s="2156"/>
      <c r="R107" s="2143"/>
      <c r="S107" s="2143"/>
      <c r="T107" s="2143"/>
      <c r="U107" s="2143"/>
      <c r="V107" s="2143"/>
      <c r="W107" s="2143"/>
      <c r="X107" s="2143"/>
      <c r="Y107" s="2143"/>
      <c r="Z107" s="2143"/>
      <c r="AA107" s="2143"/>
      <c r="AB107" s="2143"/>
      <c r="AC107" s="2143"/>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2"/>
      <c r="O109" s="2162"/>
      <c r="P109" s="2163"/>
      <c r="Q109" s="2156"/>
      <c r="R109" s="2143"/>
      <c r="S109" s="2143"/>
      <c r="T109" s="2143"/>
      <c r="U109" s="2143"/>
      <c r="V109" s="2143"/>
      <c r="W109" s="2143"/>
      <c r="X109" s="2143"/>
      <c r="Y109" s="2143"/>
      <c r="Z109" s="2143"/>
      <c r="AA109" s="2143"/>
      <c r="AB109" s="2143"/>
      <c r="AC109" s="2143"/>
    </row>
    <row r="110" spans="1:29">
      <c r="A110" s="732"/>
      <c r="B110" s="678"/>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5"/>
      <c r="B112" s="1894" t="s">
        <v>2563</v>
      </c>
      <c r="C112" s="685"/>
      <c r="D112" s="685"/>
      <c r="E112" s="685"/>
      <c r="F112" s="685"/>
      <c r="G112" s="685"/>
      <c r="H112" s="715"/>
      <c r="I112" s="715"/>
      <c r="J112" s="715"/>
      <c r="K112" s="716"/>
      <c r="L112" s="717"/>
      <c r="M112" s="718"/>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2"/>
      <c r="B114" s="670" t="s">
        <v>774</v>
      </c>
      <c r="C114" s="685"/>
      <c r="D114" s="685"/>
      <c r="E114" s="715"/>
      <c r="F114" s="715"/>
      <c r="G114" s="715"/>
      <c r="H114" s="715"/>
      <c r="I114" s="715"/>
      <c r="J114" s="715"/>
      <c r="K114" s="716"/>
      <c r="L114" s="717"/>
      <c r="M114" s="718"/>
      <c r="N114" s="2162"/>
      <c r="O114" s="2162"/>
      <c r="P114" s="2163"/>
      <c r="Q114" s="2156"/>
      <c r="R114" s="2143"/>
      <c r="S114" s="2143"/>
      <c r="T114" s="2143"/>
      <c r="U114" s="2143"/>
      <c r="V114" s="2143"/>
      <c r="W114" s="2143"/>
      <c r="X114" s="2143"/>
      <c r="Y114" s="2143"/>
      <c r="Z114" s="2143"/>
      <c r="AA114" s="2143"/>
      <c r="AB114" s="2143"/>
      <c r="AC114" s="2143"/>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2"/>
      <c r="B116" s="670" t="s">
        <v>775</v>
      </c>
      <c r="C116" s="685"/>
      <c r="D116" s="685"/>
      <c r="E116" s="685"/>
      <c r="F116" s="685"/>
      <c r="G116" s="685"/>
      <c r="H116" s="715"/>
      <c r="I116" s="715"/>
      <c r="J116" s="715"/>
      <c r="K116" s="716"/>
      <c r="L116" s="717"/>
      <c r="M116" s="718"/>
      <c r="N116" s="2162"/>
      <c r="O116" s="2162"/>
      <c r="P116" s="2163"/>
      <c r="Q116" s="2156"/>
      <c r="R116" s="2143"/>
      <c r="S116" s="2143"/>
      <c r="T116" s="2143"/>
      <c r="U116" s="2143"/>
      <c r="V116" s="2143"/>
      <c r="W116" s="2143"/>
      <c r="X116" s="2143"/>
      <c r="Y116" s="2143"/>
      <c r="Z116" s="2143"/>
      <c r="AA116" s="2143"/>
      <c r="AB116" s="2143"/>
      <c r="AC116" s="2143"/>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4"/>
      <c r="O117" s="2164"/>
      <c r="P117" s="2163"/>
      <c r="Q117" s="2156"/>
      <c r="R117" s="2143"/>
      <c r="S117" s="2143"/>
      <c r="T117" s="2143"/>
      <c r="U117" s="2143"/>
      <c r="V117" s="2143"/>
      <c r="W117" s="2143"/>
      <c r="X117" s="2143"/>
      <c r="Y117" s="2143"/>
      <c r="Z117" s="2143"/>
      <c r="AA117" s="2143"/>
      <c r="AB117" s="2143"/>
      <c r="AC117" s="2143"/>
    </row>
    <row r="118" spans="1:29" ht="15" thickTop="1">
      <c r="A118" s="732"/>
      <c r="B118" s="670" t="s">
        <v>776</v>
      </c>
      <c r="C118" s="905"/>
      <c r="D118" s="905"/>
      <c r="E118" s="905"/>
      <c r="F118" s="905"/>
      <c r="G118" s="905"/>
      <c r="H118" s="686"/>
      <c r="I118" s="686"/>
      <c r="J118" s="686"/>
      <c r="K118" s="686"/>
      <c r="L118" s="687"/>
      <c r="M118" s="688"/>
      <c r="N118" s="2162"/>
      <c r="O118" s="2162"/>
      <c r="P118" s="2163"/>
      <c r="Q118" s="2156"/>
      <c r="R118" s="2143"/>
      <c r="S118" s="2143"/>
      <c r="T118" s="2143"/>
      <c r="U118" s="2143"/>
      <c r="V118" s="2143"/>
      <c r="W118" s="2143"/>
      <c r="X118" s="2143"/>
      <c r="Y118" s="2143"/>
      <c r="Z118" s="2143"/>
      <c r="AA118" s="2143"/>
      <c r="AB118" s="2143"/>
      <c r="AC118" s="2143"/>
    </row>
    <row r="119" spans="1:29" ht="15.75" thickBot="1">
      <c r="A119" s="666"/>
      <c r="B119" s="675"/>
      <c r="C119" s="689"/>
      <c r="D119" s="668"/>
      <c r="E119" s="668"/>
      <c r="F119" s="668"/>
      <c r="G119" s="668"/>
      <c r="H119" s="668"/>
      <c r="I119" s="668"/>
      <c r="J119" s="668"/>
      <c r="K119" s="668"/>
      <c r="L119" s="668"/>
      <c r="M119" s="669"/>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5"/>
      <c r="B120" s="670" t="s">
        <v>777</v>
      </c>
      <c r="C120" s="715"/>
      <c r="D120" s="715"/>
      <c r="E120" s="715"/>
      <c r="F120" s="715"/>
      <c r="G120" s="686"/>
      <c r="H120" s="686"/>
      <c r="I120" s="686"/>
      <c r="J120" s="686"/>
      <c r="K120" s="686"/>
      <c r="L120" s="687"/>
      <c r="M120" s="688"/>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2"/>
      <c r="B122" s="670" t="s">
        <v>756</v>
      </c>
      <c r="C122" s="685"/>
      <c r="D122" s="685"/>
      <c r="E122" s="685"/>
      <c r="F122" s="715"/>
      <c r="G122" s="715"/>
      <c r="H122" s="715"/>
      <c r="I122" s="715"/>
      <c r="J122" s="715"/>
      <c r="K122" s="716"/>
      <c r="L122" s="717"/>
      <c r="M122" s="718"/>
      <c r="N122" s="2162"/>
      <c r="O122" s="2162"/>
      <c r="P122" s="2163"/>
      <c r="Q122" s="2156"/>
      <c r="R122" s="2143"/>
      <c r="S122" s="2143"/>
      <c r="T122" s="2143"/>
      <c r="U122" s="2143"/>
      <c r="V122" s="2143"/>
      <c r="W122" s="2143"/>
      <c r="X122" s="2143"/>
      <c r="Y122" s="2143"/>
      <c r="Z122" s="2143"/>
      <c r="AA122" s="2143"/>
      <c r="AB122" s="2143"/>
      <c r="AC122" s="2143"/>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62"/>
      <c r="O124" s="2162"/>
      <c r="P124" s="2166"/>
      <c r="Q124" s="2156"/>
      <c r="R124" s="2143"/>
      <c r="S124" s="2143"/>
      <c r="T124" s="2143"/>
      <c r="U124" s="2143"/>
      <c r="V124" s="2143"/>
      <c r="W124" s="2143"/>
      <c r="X124" s="2143"/>
      <c r="Y124" s="2143"/>
      <c r="Z124" s="2143"/>
      <c r="AA124" s="2143"/>
      <c r="AB124" s="2143"/>
      <c r="AC124" s="2143"/>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5"/>
      <c r="B126" s="670">
        <f>B44</f>
        <v>111</v>
      </c>
      <c r="C126" s="685"/>
      <c r="D126" s="685"/>
      <c r="E126" s="685"/>
      <c r="F126" s="685"/>
      <c r="G126" s="685"/>
      <c r="H126" s="686"/>
      <c r="I126" s="686"/>
      <c r="J126" s="686"/>
      <c r="K126" s="686"/>
      <c r="L126" s="687"/>
      <c r="M126" s="688"/>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4"/>
      <c r="B127" s="675"/>
      <c r="C127" s="689"/>
      <c r="D127" s="668"/>
      <c r="E127" s="668"/>
      <c r="F127" s="668"/>
      <c r="G127" s="689"/>
      <c r="H127" s="690"/>
      <c r="I127" s="690"/>
      <c r="J127" s="690"/>
      <c r="K127" s="690"/>
      <c r="L127" s="690"/>
      <c r="M127" s="691"/>
      <c r="N127" s="2165"/>
      <c r="O127" s="2165"/>
      <c r="P127" s="2166"/>
      <c r="Q127" s="2167"/>
      <c r="R127" s="2168"/>
      <c r="S127" s="2168"/>
      <c r="T127" s="2168"/>
      <c r="U127" s="2168"/>
      <c r="V127" s="2168"/>
      <c r="W127" s="2168"/>
      <c r="X127" s="2168"/>
      <c r="Y127" s="2168"/>
      <c r="Z127" s="2168"/>
      <c r="AA127" s="2168"/>
      <c r="AB127" s="2168"/>
      <c r="AC127" s="2168"/>
    </row>
    <row r="128" spans="1:29" ht="15" thickTop="1">
      <c r="A128" s="732"/>
      <c r="B128" s="670">
        <f>B45</f>
        <v>111</v>
      </c>
      <c r="C128" s="685"/>
      <c r="D128" s="685"/>
      <c r="E128" s="685"/>
      <c r="F128" s="685"/>
      <c r="G128" s="715"/>
      <c r="H128" s="715"/>
      <c r="I128" s="715"/>
      <c r="J128" s="715"/>
      <c r="K128" s="716"/>
      <c r="L128" s="717"/>
      <c r="M128" s="718"/>
      <c r="N128" s="2162"/>
      <c r="O128" s="2162"/>
      <c r="P128" s="2163"/>
      <c r="Q128" s="2156"/>
      <c r="R128" s="2143"/>
      <c r="S128" s="2143"/>
      <c r="T128" s="2143"/>
      <c r="U128" s="2143"/>
      <c r="V128" s="2143"/>
      <c r="W128" s="2143"/>
      <c r="X128" s="2143"/>
      <c r="Y128" s="2143"/>
      <c r="Z128" s="2143"/>
      <c r="AA128" s="2143"/>
      <c r="AB128" s="2143"/>
      <c r="AC128" s="2143"/>
    </row>
    <row r="129" spans="1:29" ht="15.75" thickBot="1">
      <c r="A129" s="666"/>
      <c r="B129" s="675"/>
      <c r="C129" s="689"/>
      <c r="D129" s="668"/>
      <c r="E129" s="668"/>
      <c r="F129" s="668"/>
      <c r="G129" s="668"/>
      <c r="H129" s="668"/>
      <c r="I129" s="668"/>
      <c r="J129" s="668"/>
      <c r="K129" s="668"/>
      <c r="L129" s="668"/>
      <c r="M129" s="669"/>
      <c r="N129" s="2164"/>
      <c r="O129" s="2164"/>
      <c r="P129" s="2163"/>
      <c r="Q129" s="2156"/>
      <c r="R129" s="2143"/>
      <c r="S129" s="2143"/>
      <c r="T129" s="2143"/>
      <c r="U129" s="2143"/>
      <c r="V129" s="2143"/>
      <c r="W129" s="2143"/>
      <c r="X129" s="2143"/>
      <c r="Y129" s="2143"/>
      <c r="Z129" s="2143"/>
      <c r="AA129" s="2143"/>
      <c r="AB129" s="2143"/>
      <c r="AC129" s="2143"/>
    </row>
    <row r="130" spans="1:29" ht="15" thickTop="1">
      <c r="A130" s="732"/>
      <c r="B130" s="678">
        <f>B46</f>
        <v>111</v>
      </c>
      <c r="C130" s="685"/>
      <c r="D130" s="685"/>
      <c r="E130" s="685"/>
      <c r="F130" s="685"/>
      <c r="G130" s="719"/>
      <c r="H130" s="719"/>
      <c r="I130" s="719"/>
      <c r="J130" s="719"/>
      <c r="K130" s="658"/>
      <c r="L130" s="659"/>
      <c r="M130" s="722"/>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6"/>
      <c r="C131" s="697"/>
      <c r="D131" s="697"/>
      <c r="E131" s="697"/>
      <c r="F131" s="697"/>
      <c r="G131" s="723"/>
      <c r="H131" s="723"/>
      <c r="I131" s="723"/>
      <c r="J131" s="723"/>
      <c r="K131" s="723"/>
      <c r="L131" s="723"/>
      <c r="M131" s="724"/>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500" t="s">
        <v>789</v>
      </c>
      <c r="C1" s="501" t="s">
        <v>721</v>
      </c>
      <c r="D1" s="846"/>
      <c r="E1" s="503"/>
      <c r="F1" s="2831"/>
      <c r="G1" s="1598" t="s">
        <v>722</v>
      </c>
      <c r="H1" s="503"/>
      <c r="I1" s="503"/>
      <c r="J1" s="503"/>
      <c r="K1" s="504"/>
      <c r="L1" s="1559"/>
      <c r="M1" s="1560"/>
      <c r="N1" s="1560"/>
      <c r="O1" s="1560"/>
      <c r="P1" s="1561"/>
      <c r="Q1" s="1561"/>
      <c r="R1" s="1561"/>
      <c r="S1" s="1561"/>
      <c r="T1" s="1561"/>
      <c r="U1" s="1561"/>
      <c r="V1" s="1561"/>
      <c r="W1" s="1561"/>
      <c r="X1" s="1561"/>
      <c r="Y1" s="1561"/>
      <c r="Z1" s="1561"/>
      <c r="AA1" s="1561"/>
      <c r="AB1" s="1561"/>
      <c r="AC1" s="425"/>
    </row>
    <row r="2" spans="1:29" s="1332" customFormat="1" ht="28.5" customHeight="1">
      <c r="A2" s="420" t="s">
        <v>467</v>
      </c>
      <c r="B2" s="847"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5"/>
    </row>
    <row r="3" spans="1:29" s="1332" customFormat="1" ht="28.5" customHeight="1" thickBot="1">
      <c r="A3" s="506" t="s">
        <v>520</v>
      </c>
      <c r="B3" s="507" t="e">
        <f>C43</f>
        <v>#DIV/0!</v>
      </c>
      <c r="C3" s="849" t="s">
        <v>723</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522</v>
      </c>
      <c r="B4" s="510"/>
      <c r="C4" s="3390" t="s">
        <v>523</v>
      </c>
      <c r="D4" s="3391"/>
      <c r="E4" s="3415" t="s">
        <v>524</v>
      </c>
      <c r="F4" s="3416"/>
      <c r="G4" s="3390" t="s">
        <v>525</v>
      </c>
      <c r="H4" s="3391"/>
      <c r="I4" s="3390" t="s">
        <v>526</v>
      </c>
      <c r="J4" s="3391"/>
      <c r="K4" s="511" t="s">
        <v>527</v>
      </c>
      <c r="L4" s="2131"/>
      <c r="M4" s="2132"/>
      <c r="N4" s="2132"/>
      <c r="O4" s="2132"/>
      <c r="P4" s="3392" t="s">
        <v>528</v>
      </c>
      <c r="Q4" s="3393"/>
      <c r="R4" s="3378" t="s">
        <v>524</v>
      </c>
      <c r="S4" s="3379"/>
      <c r="T4" s="3378" t="s">
        <v>525</v>
      </c>
      <c r="U4" s="3379"/>
      <c r="V4" s="3398" t="s">
        <v>526</v>
      </c>
      <c r="W4" s="3398"/>
      <c r="X4" s="1564"/>
      <c r="Y4" s="3378" t="s">
        <v>528</v>
      </c>
      <c r="Z4" s="3379"/>
      <c r="AA4" s="3373" t="s">
        <v>524</v>
      </c>
      <c r="AB4" s="3374" t="s">
        <v>525</v>
      </c>
      <c r="AC4" s="3373" t="s">
        <v>526</v>
      </c>
    </row>
    <row r="5" spans="1:29" ht="15">
      <c r="A5" s="512"/>
      <c r="B5" s="513"/>
      <c r="C5" s="3401" t="s">
        <v>2940</v>
      </c>
      <c r="D5" s="3402"/>
      <c r="E5" s="3417" t="s">
        <v>2941</v>
      </c>
      <c r="F5" s="3418"/>
      <c r="G5" s="3401" t="s">
        <v>2942</v>
      </c>
      <c r="H5" s="3402"/>
      <c r="I5" s="3401" t="s">
        <v>2943</v>
      </c>
      <c r="J5" s="3402"/>
      <c r="K5" s="511"/>
      <c r="L5" s="2131"/>
      <c r="M5" s="2132"/>
      <c r="N5" s="2132"/>
      <c r="O5" s="2132"/>
      <c r="P5" s="3394"/>
      <c r="Q5" s="3395"/>
      <c r="R5" s="3380"/>
      <c r="S5" s="3381"/>
      <c r="T5" s="3380"/>
      <c r="U5" s="3381"/>
      <c r="V5" s="3398"/>
      <c r="W5" s="3398"/>
      <c r="X5" s="1564"/>
      <c r="Y5" s="3380"/>
      <c r="Z5" s="3381"/>
      <c r="AA5" s="3374"/>
      <c r="AB5" s="3374"/>
      <c r="AC5" s="3374"/>
    </row>
    <row r="6" spans="1:29" ht="15.75" thickBot="1">
      <c r="A6" s="514"/>
      <c r="B6" s="515"/>
      <c r="C6" s="3419" t="s">
        <v>2944</v>
      </c>
      <c r="D6" s="3400"/>
      <c r="E6" s="3420" t="s">
        <v>2944</v>
      </c>
      <c r="F6" s="3421"/>
      <c r="G6" s="3419" t="s">
        <v>2944</v>
      </c>
      <c r="H6" s="3400"/>
      <c r="I6" s="3419" t="s">
        <v>2944</v>
      </c>
      <c r="J6" s="3400"/>
      <c r="K6" s="511" t="s">
        <v>529</v>
      </c>
      <c r="L6" s="2131"/>
      <c r="M6" s="2132"/>
      <c r="N6" s="2132"/>
      <c r="O6" s="2132"/>
      <c r="P6" s="3396"/>
      <c r="Q6" s="3397"/>
      <c r="R6" s="3380"/>
      <c r="S6" s="3381"/>
      <c r="T6" s="3382"/>
      <c r="U6" s="3383"/>
      <c r="V6" s="3398"/>
      <c r="W6" s="3398"/>
      <c r="X6" s="1564"/>
      <c r="Y6" s="3382"/>
      <c r="Z6" s="3383"/>
      <c r="AA6" s="3375"/>
      <c r="AB6" s="3375"/>
      <c r="AC6" s="3375"/>
    </row>
    <row r="7" spans="1:29" s="1216" customFormat="1" ht="15.75" thickBot="1">
      <c r="A7" s="2935"/>
      <c r="B7" s="2942" t="s">
        <v>530</v>
      </c>
      <c r="C7" s="516">
        <f>'数据-取费表'!B2</f>
        <v>43123</v>
      </c>
      <c r="D7" s="517">
        <v>100</v>
      </c>
      <c r="E7" s="518"/>
      <c r="F7" s="519">
        <f>SUMIF(52:52,YEAR(E7)&amp;"-"&amp;MONTH(E7),53:53)</f>
        <v>0</v>
      </c>
      <c r="G7" s="518"/>
      <c r="H7" s="517">
        <f>SUMIF(52:52,YEAR(G7)&amp;"-"&amp;MONTH(G7),53:53)</f>
        <v>0</v>
      </c>
      <c r="I7" s="518"/>
      <c r="J7" s="517">
        <f>SUMIF(52:52,YEAR(I7)&amp;"-"&amp;MONTH(I7),53:53)</f>
        <v>0</v>
      </c>
      <c r="K7" s="521"/>
      <c r="L7" s="2133"/>
      <c r="M7" s="2134"/>
      <c r="N7" s="2134"/>
      <c r="O7" s="2134"/>
      <c r="P7" s="3376" t="s">
        <v>531</v>
      </c>
      <c r="Q7" s="3385"/>
      <c r="R7" s="1565" t="s">
        <v>8</v>
      </c>
      <c r="S7" s="1566">
        <f t="shared" ref="S7:S15" si="0">F7</f>
        <v>0</v>
      </c>
      <c r="T7" s="1565" t="s">
        <v>8</v>
      </c>
      <c r="U7" s="1566">
        <f t="shared" ref="U7:U15" si="1">H7</f>
        <v>0</v>
      </c>
      <c r="V7" s="1565" t="s">
        <v>8</v>
      </c>
      <c r="W7" s="1566">
        <f t="shared" ref="W7:W15" si="2">J7</f>
        <v>0</v>
      </c>
      <c r="X7" s="1567"/>
      <c r="Y7" s="3376" t="s">
        <v>531</v>
      </c>
      <c r="Z7" s="3377"/>
      <c r="AA7" s="1568" t="e">
        <f>D7/F7</f>
        <v>#DIV/0!</v>
      </c>
      <c r="AB7" s="1568" t="e">
        <f>D7/H7</f>
        <v>#DIV/0!</v>
      </c>
      <c r="AC7" s="1568" t="e">
        <f>D7/J7</f>
        <v>#DIV/0!</v>
      </c>
    </row>
    <row r="8" spans="1:29" s="1216" customFormat="1" ht="15.75" thickBot="1">
      <c r="A8" s="2936"/>
      <c r="B8" s="2943" t="s">
        <v>532</v>
      </c>
      <c r="C8" s="522" t="s">
        <v>577</v>
      </c>
      <c r="D8" s="517">
        <v>100</v>
      </c>
      <c r="E8" s="522"/>
      <c r="F8" s="519">
        <f>SUMIF(55:55,E8,56:56)-SUMIF(55:55,C8,56:56)+100</f>
        <v>0</v>
      </c>
      <c r="G8" s="522"/>
      <c r="H8" s="517">
        <f>SUMIF(55:55,G8,56:56)-SUMIF(55:55,C8,56:56)+100</f>
        <v>0</v>
      </c>
      <c r="I8" s="522"/>
      <c r="J8" s="517">
        <f>SUMIF(55:55,I8,56:56)-SUMIF(55:55,C8,56:56)+100</f>
        <v>0</v>
      </c>
      <c r="K8" s="521"/>
      <c r="L8" s="2133"/>
      <c r="M8" s="2134"/>
      <c r="N8" s="2134"/>
      <c r="O8" s="2134"/>
      <c r="P8" s="3376" t="s">
        <v>534</v>
      </c>
      <c r="Q8" s="3377"/>
      <c r="R8" s="1565" t="s">
        <v>8</v>
      </c>
      <c r="S8" s="1566">
        <f t="shared" si="0"/>
        <v>0</v>
      </c>
      <c r="T8" s="1565" t="s">
        <v>8</v>
      </c>
      <c r="U8" s="1566">
        <f t="shared" si="1"/>
        <v>0</v>
      </c>
      <c r="V8" s="1565" t="s">
        <v>8</v>
      </c>
      <c r="W8" s="1566">
        <f t="shared" si="2"/>
        <v>0</v>
      </c>
      <c r="X8" s="1567"/>
      <c r="Y8" s="3376" t="s">
        <v>534</v>
      </c>
      <c r="Z8" s="3377"/>
      <c r="AA8" s="1568" t="e">
        <f t="shared" ref="AA8:AA40" si="3">D8/F8</f>
        <v>#DIV/0!</v>
      </c>
      <c r="AB8" s="1568" t="e">
        <f t="shared" ref="AB8:AB40" si="4">D8/H8</f>
        <v>#DIV/0!</v>
      </c>
      <c r="AC8" s="1568" t="e">
        <f t="shared" ref="AC8:AC40" si="5">D8/J8</f>
        <v>#DIV/0!</v>
      </c>
    </row>
    <row r="9" spans="1:29" s="1216" customFormat="1" ht="15">
      <c r="A9" s="2937"/>
      <c r="B9" s="2944" t="s">
        <v>2765</v>
      </c>
      <c r="C9" s="854"/>
      <c r="D9" s="253">
        <v>100</v>
      </c>
      <c r="E9" s="857"/>
      <c r="F9" s="253">
        <f>SUMIF(57:57,E9,58:58)-SUMIF(57:57,C9,58:58)+100</f>
        <v>100</v>
      </c>
      <c r="G9" s="855"/>
      <c r="H9" s="253">
        <f>SUMIF(57:57,G9,58:58)-SUMIF(57:57,C9,58:58)+100</f>
        <v>100</v>
      </c>
      <c r="I9" s="855"/>
      <c r="J9" s="253">
        <f>SUMIF(57:57,I9,58:58)-SUMIF(57:57,C9,58:58)+100</f>
        <v>100</v>
      </c>
      <c r="K9" s="521"/>
      <c r="L9" s="2133"/>
      <c r="M9" s="2134"/>
      <c r="N9" s="2134"/>
      <c r="O9" s="2135"/>
      <c r="P9" s="3384" t="s">
        <v>536</v>
      </c>
      <c r="Q9" s="1147" t="str">
        <f t="shared" ref="Q9:Q15" si="6">B9</f>
        <v>用途</v>
      </c>
      <c r="R9" s="1565" t="s">
        <v>8</v>
      </c>
      <c r="S9" s="1566">
        <f t="shared" si="0"/>
        <v>100</v>
      </c>
      <c r="T9" s="1565" t="s">
        <v>8</v>
      </c>
      <c r="U9" s="1566">
        <f t="shared" si="1"/>
        <v>100</v>
      </c>
      <c r="V9" s="1565" t="s">
        <v>8</v>
      </c>
      <c r="W9" s="1566">
        <f t="shared" si="2"/>
        <v>100</v>
      </c>
      <c r="X9" s="1567"/>
      <c r="Y9" s="3341" t="s">
        <v>537</v>
      </c>
      <c r="Z9" s="1146" t="str">
        <f t="shared" ref="Z9:Z15" si="7">Q9</f>
        <v>用途</v>
      </c>
      <c r="AA9" s="1568">
        <f t="shared" si="3"/>
        <v>1</v>
      </c>
      <c r="AB9" s="1568">
        <f t="shared" si="4"/>
        <v>1</v>
      </c>
      <c r="AC9" s="1568">
        <f t="shared" si="5"/>
        <v>1</v>
      </c>
    </row>
    <row r="10" spans="1:29" s="1334" customFormat="1" ht="27">
      <c r="A10" s="2938"/>
      <c r="B10" s="2943" t="s">
        <v>2766</v>
      </c>
      <c r="C10" s="858"/>
      <c r="D10" s="254">
        <v>100</v>
      </c>
      <c r="E10" s="858"/>
      <c r="F10" s="254">
        <f>SUMIF(59:59,E10,60:60)-SUMIF(59:59,C10,60:60)+100</f>
        <v>100</v>
      </c>
      <c r="G10" s="859"/>
      <c r="H10" s="254">
        <f>SUMIF(59:59,G10,60:60)-SUMIF(59:59,C10,60:60)+100</f>
        <v>100</v>
      </c>
      <c r="I10" s="858"/>
      <c r="J10" s="254">
        <f>SUMIF(59:59,I10,60:60)-SUMIF(59:59,C10,60:60)+100</f>
        <v>100</v>
      </c>
      <c r="K10" s="581"/>
      <c r="L10" s="2136"/>
      <c r="M10" s="2176"/>
      <c r="N10" s="2176"/>
      <c r="O10" s="2137"/>
      <c r="P10" s="3384"/>
      <c r="Q10" s="1147" t="str">
        <f t="shared" si="6"/>
        <v>土地使用年限（年）</v>
      </c>
      <c r="R10" s="1565" t="s">
        <v>8</v>
      </c>
      <c r="S10" s="1566">
        <f t="shared" si="0"/>
        <v>100</v>
      </c>
      <c r="T10" s="1565" t="s">
        <v>8</v>
      </c>
      <c r="U10" s="1566">
        <f t="shared" si="1"/>
        <v>100</v>
      </c>
      <c r="V10" s="1565" t="s">
        <v>8</v>
      </c>
      <c r="W10" s="1566">
        <f t="shared" si="2"/>
        <v>100</v>
      </c>
      <c r="X10" s="1567"/>
      <c r="Y10" s="3341"/>
      <c r="Z10" s="1146" t="str">
        <f t="shared" si="7"/>
        <v>土地使用年限（年）</v>
      </c>
      <c r="AA10" s="1568">
        <f t="shared" si="3"/>
        <v>1</v>
      </c>
      <c r="AB10" s="1568">
        <f t="shared" si="4"/>
        <v>1</v>
      </c>
      <c r="AC10" s="1568">
        <f t="shared" si="5"/>
        <v>1</v>
      </c>
    </row>
    <row r="11" spans="1:29" ht="15">
      <c r="A11" s="2939"/>
      <c r="B11" s="2943" t="s">
        <v>2767</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38"/>
      <c r="M11" s="2132"/>
      <c r="N11" s="2132"/>
      <c r="O11" s="2139"/>
      <c r="P11" s="3384"/>
      <c r="Q11" s="1147" t="str">
        <f t="shared" si="6"/>
        <v>容积率</v>
      </c>
      <c r="R11" s="1565" t="s">
        <v>8</v>
      </c>
      <c r="S11" s="1566" t="e">
        <f t="shared" si="0"/>
        <v>#N/A</v>
      </c>
      <c r="T11" s="1565" t="s">
        <v>8</v>
      </c>
      <c r="U11" s="1566" t="e">
        <f t="shared" si="1"/>
        <v>#N/A</v>
      </c>
      <c r="V11" s="1565" t="s">
        <v>8</v>
      </c>
      <c r="W11" s="1566" t="e">
        <f t="shared" si="2"/>
        <v>#N/A</v>
      </c>
      <c r="X11" s="1567"/>
      <c r="Y11" s="3341"/>
      <c r="Z11" s="1146" t="str">
        <f t="shared" si="7"/>
        <v>容积率</v>
      </c>
      <c r="AA11" s="1568" t="e">
        <f t="shared" si="3"/>
        <v>#N/A</v>
      </c>
      <c r="AB11" s="1568" t="e">
        <f t="shared" si="4"/>
        <v>#N/A</v>
      </c>
      <c r="AC11" s="1568" t="e">
        <f t="shared" si="5"/>
        <v>#N/A</v>
      </c>
    </row>
    <row r="12" spans="1:29" s="1216" customFormat="1" ht="15">
      <c r="A12" s="2940"/>
      <c r="B12" s="2946">
        <v>111</v>
      </c>
      <c r="C12" s="525"/>
      <c r="D12" s="535">
        <v>100</v>
      </c>
      <c r="E12" s="536"/>
      <c r="F12" s="254">
        <f>SUMIF(64:64,E12,65:65)-SUMIF(64:64,C12,65:65)+100</f>
        <v>100</v>
      </c>
      <c r="G12" s="916"/>
      <c r="H12" s="254">
        <f>SUMIF(64:64,G12,65:65)-SUMIF(64:64,C12,65:65)+100</f>
        <v>100</v>
      </c>
      <c r="I12" s="876"/>
      <c r="J12" s="254">
        <f>SUMIF(64:64,I12,65:65)-SUMIF(64:64,C12,65:65)+100</f>
        <v>100</v>
      </c>
      <c r="K12" s="578"/>
      <c r="L12" s="2133"/>
      <c r="M12" s="2134"/>
      <c r="N12" s="2134"/>
      <c r="O12" s="2135"/>
      <c r="P12" s="3384"/>
      <c r="Q12" s="1147">
        <f t="shared" si="6"/>
        <v>111</v>
      </c>
      <c r="R12" s="1565" t="s">
        <v>8</v>
      </c>
      <c r="S12" s="1566">
        <f t="shared" si="0"/>
        <v>100</v>
      </c>
      <c r="T12" s="1565" t="s">
        <v>8</v>
      </c>
      <c r="U12" s="1566">
        <f t="shared" si="1"/>
        <v>100</v>
      </c>
      <c r="V12" s="1565" t="s">
        <v>8</v>
      </c>
      <c r="W12" s="1566">
        <f t="shared" si="2"/>
        <v>100</v>
      </c>
      <c r="X12" s="1567"/>
      <c r="Y12" s="3341"/>
      <c r="Z12" s="1146">
        <f t="shared" si="7"/>
        <v>111</v>
      </c>
      <c r="AA12" s="1568">
        <f>D12/F12</f>
        <v>1</v>
      </c>
      <c r="AB12" s="1568">
        <f>D12/H12</f>
        <v>1</v>
      </c>
      <c r="AC12" s="1568">
        <f>D12/J12</f>
        <v>1</v>
      </c>
    </row>
    <row r="13" spans="1:29" ht="15">
      <c r="A13" s="2940"/>
      <c r="B13" s="2946">
        <v>111</v>
      </c>
      <c r="C13" s="536"/>
      <c r="D13" s="537">
        <v>100</v>
      </c>
      <c r="E13" s="536"/>
      <c r="F13" s="254">
        <f>SUMIF(66:66,E13,67:67)-SUMIF(66:66,C13,67:67)+100</f>
        <v>100</v>
      </c>
      <c r="G13" s="916"/>
      <c r="H13" s="537">
        <f>SUMIF(66:66,G13,67:67)-SUMIF(66:66,C13,67:67)+100</f>
        <v>100</v>
      </c>
      <c r="I13" s="876"/>
      <c r="J13" s="537">
        <f>SUMIF(66:66,I13,67:67)-SUMIF(66:66,C13,67:67)+100</f>
        <v>100</v>
      </c>
      <c r="K13" s="578"/>
      <c r="L13" s="2140"/>
      <c r="M13" s="2132"/>
      <c r="N13" s="2132"/>
      <c r="O13" s="2139"/>
      <c r="P13" s="3384"/>
      <c r="Q13" s="1147">
        <f t="shared" si="6"/>
        <v>111</v>
      </c>
      <c r="R13" s="1565" t="s">
        <v>8</v>
      </c>
      <c r="S13" s="1566">
        <f t="shared" si="0"/>
        <v>100</v>
      </c>
      <c r="T13" s="1565" t="s">
        <v>8</v>
      </c>
      <c r="U13" s="1566">
        <f t="shared" si="1"/>
        <v>100</v>
      </c>
      <c r="V13" s="1565" t="s">
        <v>8</v>
      </c>
      <c r="W13" s="1566">
        <f t="shared" si="2"/>
        <v>100</v>
      </c>
      <c r="X13" s="1567"/>
      <c r="Y13" s="3341"/>
      <c r="Z13" s="1146">
        <f t="shared" si="7"/>
        <v>111</v>
      </c>
      <c r="AA13" s="1568">
        <f t="shared" si="3"/>
        <v>1</v>
      </c>
      <c r="AB13" s="1568">
        <f t="shared" si="4"/>
        <v>1</v>
      </c>
      <c r="AC13" s="1568">
        <f t="shared" si="5"/>
        <v>1</v>
      </c>
    </row>
    <row r="14" spans="1:29" ht="15.75" thickBot="1">
      <c r="A14" s="2941"/>
      <c r="B14" s="2947">
        <v>111</v>
      </c>
      <c r="C14" s="542"/>
      <c r="D14" s="543">
        <v>100</v>
      </c>
      <c r="E14" s="542"/>
      <c r="F14" s="543">
        <f>SUMIF(68:68,E14,69:69)-SUMIF(68:68,C14,69:69)+100</f>
        <v>100</v>
      </c>
      <c r="G14" s="916"/>
      <c r="H14" s="543">
        <f>SUMIF(68:68,G14,69:69)-SUMIF(68:68,C14,69:69)+100</f>
        <v>100</v>
      </c>
      <c r="I14" s="876"/>
      <c r="J14" s="543">
        <f>SUMIF(68:68,I14,69:69)-SUMIF(68:68,C14,69:69)+100</f>
        <v>100</v>
      </c>
      <c r="K14" s="578"/>
      <c r="L14" s="2140"/>
      <c r="M14" s="2132"/>
      <c r="N14" s="2132"/>
      <c r="O14" s="2139"/>
      <c r="P14" s="3384"/>
      <c r="Q14" s="1147">
        <f t="shared" si="6"/>
        <v>111</v>
      </c>
      <c r="R14" s="1565" t="s">
        <v>8</v>
      </c>
      <c r="S14" s="1566">
        <f t="shared" si="0"/>
        <v>100</v>
      </c>
      <c r="T14" s="1565" t="s">
        <v>8</v>
      </c>
      <c r="U14" s="1566">
        <f t="shared" si="1"/>
        <v>100</v>
      </c>
      <c r="V14" s="1565" t="s">
        <v>8</v>
      </c>
      <c r="W14" s="1566">
        <f t="shared" si="2"/>
        <v>100</v>
      </c>
      <c r="X14" s="1567"/>
      <c r="Y14" s="3341"/>
      <c r="Z14" s="1146">
        <f t="shared" si="7"/>
        <v>111</v>
      </c>
      <c r="AA14" s="1568">
        <f t="shared" si="3"/>
        <v>1</v>
      </c>
      <c r="AB14" s="1568">
        <f t="shared" si="4"/>
        <v>1</v>
      </c>
      <c r="AC14" s="1568">
        <f t="shared" si="5"/>
        <v>1</v>
      </c>
    </row>
    <row r="15" spans="1:29" ht="57">
      <c r="A15" s="2933" t="s">
        <v>2763</v>
      </c>
      <c r="B15" s="166" t="s">
        <v>790</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40"/>
      <c r="M15" s="2132"/>
      <c r="N15" s="2132"/>
      <c r="O15" s="2139"/>
      <c r="P15" s="3386" t="s">
        <v>541</v>
      </c>
      <c r="Q15" s="1569" t="str">
        <f t="shared" si="6"/>
        <v>产业集聚程度</v>
      </c>
      <c r="R15" s="1570" t="s">
        <v>8</v>
      </c>
      <c r="S15" s="1571">
        <f t="shared" si="0"/>
        <v>100</v>
      </c>
      <c r="T15" s="1570" t="s">
        <v>8</v>
      </c>
      <c r="U15" s="1571">
        <f t="shared" si="1"/>
        <v>100</v>
      </c>
      <c r="V15" s="1570" t="s">
        <v>8</v>
      </c>
      <c r="W15" s="1571">
        <f t="shared" si="2"/>
        <v>100</v>
      </c>
      <c r="X15" s="1564"/>
      <c r="Y15" s="3386" t="s">
        <v>541</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5"/>
      <c r="L16" s="2140"/>
      <c r="M16" s="2132"/>
      <c r="N16" s="2132"/>
      <c r="O16" s="2139"/>
      <c r="P16" s="3387"/>
      <c r="Q16" s="1569"/>
      <c r="R16" s="1570"/>
      <c r="S16" s="1571"/>
      <c r="T16" s="1570"/>
      <c r="U16" s="1571"/>
      <c r="V16" s="1570"/>
      <c r="W16" s="1571"/>
      <c r="X16" s="1564"/>
      <c r="Y16" s="3387"/>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40"/>
      <c r="M17" s="2132"/>
      <c r="N17" s="2132"/>
      <c r="O17" s="2139"/>
      <c r="P17" s="3387"/>
      <c r="Q17" s="1569" t="str">
        <f>B17</f>
        <v>交通便捷度</v>
      </c>
      <c r="R17" s="1570" t="s">
        <v>8</v>
      </c>
      <c r="S17" s="1571">
        <f>F17</f>
        <v>100</v>
      </c>
      <c r="T17" s="1570" t="s">
        <v>8</v>
      </c>
      <c r="U17" s="1571">
        <f>H17</f>
        <v>100</v>
      </c>
      <c r="V17" s="1570" t="s">
        <v>8</v>
      </c>
      <c r="W17" s="1571">
        <f>J17</f>
        <v>100</v>
      </c>
      <c r="X17" s="1564"/>
      <c r="Y17" s="338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5"/>
      <c r="L18" s="2140"/>
      <c r="M18" s="2132"/>
      <c r="N18" s="2132"/>
      <c r="O18" s="2139"/>
      <c r="P18" s="3387"/>
      <c r="Q18" s="1569"/>
      <c r="R18" s="1570"/>
      <c r="S18" s="1571"/>
      <c r="T18" s="1570"/>
      <c r="U18" s="1571"/>
      <c r="V18" s="1570"/>
      <c r="W18" s="1571"/>
      <c r="X18" s="1564"/>
      <c r="Y18" s="3387"/>
      <c r="Z18" s="1572"/>
      <c r="AA18" s="1573">
        <v>1</v>
      </c>
      <c r="AB18" s="1573">
        <v>1</v>
      </c>
      <c r="AC18" s="1573">
        <v>1</v>
      </c>
    </row>
    <row r="19" spans="1:29" ht="42.75">
      <c r="A19" s="529"/>
      <c r="B19" s="2625" t="s">
        <v>2553</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40"/>
      <c r="M19" s="2132"/>
      <c r="N19" s="2132"/>
      <c r="O19" s="2139"/>
      <c r="P19" s="3387"/>
      <c r="Q19" s="1569" t="str">
        <f>B19</f>
        <v>公共配套设施</v>
      </c>
      <c r="R19" s="1570" t="s">
        <v>8</v>
      </c>
      <c r="S19" s="1571">
        <f>F19</f>
        <v>100</v>
      </c>
      <c r="T19" s="1570" t="s">
        <v>8</v>
      </c>
      <c r="U19" s="1571">
        <f>H19</f>
        <v>100</v>
      </c>
      <c r="V19" s="1570" t="s">
        <v>8</v>
      </c>
      <c r="W19" s="1571">
        <f>J19</f>
        <v>100</v>
      </c>
      <c r="X19" s="1564"/>
      <c r="Y19" s="3387"/>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5"/>
      <c r="L20" s="2140"/>
      <c r="M20" s="2132"/>
      <c r="N20" s="2132"/>
      <c r="O20" s="2139"/>
      <c r="P20" s="3387"/>
      <c r="Q20" s="1569"/>
      <c r="R20" s="1570"/>
      <c r="S20" s="1571"/>
      <c r="T20" s="1570"/>
      <c r="U20" s="1571"/>
      <c r="V20" s="1570"/>
      <c r="W20" s="1571"/>
      <c r="X20" s="1564"/>
      <c r="Y20" s="3387"/>
      <c r="Z20" s="1572"/>
      <c r="AA20" s="1573">
        <v>1</v>
      </c>
      <c r="AB20" s="1573">
        <v>1</v>
      </c>
      <c r="AC20" s="1573">
        <v>1</v>
      </c>
    </row>
    <row r="21" spans="1:29" ht="28.5">
      <c r="A21" s="529"/>
      <c r="B21" s="2613" t="s">
        <v>2565</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40"/>
      <c r="M21" s="2132"/>
      <c r="N21" s="2132"/>
      <c r="O21" s="2139"/>
      <c r="P21" s="3387"/>
      <c r="Q21" s="2601" t="str">
        <f>B21</f>
        <v>基础设施水平</v>
      </c>
      <c r="R21" s="1570" t="s">
        <v>8</v>
      </c>
      <c r="S21" s="1571">
        <f>F21</f>
        <v>100</v>
      </c>
      <c r="T21" s="1570" t="s">
        <v>8</v>
      </c>
      <c r="U21" s="1571">
        <f>H21</f>
        <v>100</v>
      </c>
      <c r="V21" s="1570" t="s">
        <v>8</v>
      </c>
      <c r="W21" s="1571">
        <f>J21</f>
        <v>100</v>
      </c>
      <c r="X21" s="2603"/>
      <c r="Y21" s="3387"/>
      <c r="Z21" s="2602"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4"/>
      <c r="L22" s="2140"/>
      <c r="M22" s="2132"/>
      <c r="N22" s="2132"/>
      <c r="O22" s="2139"/>
      <c r="P22" s="3387"/>
      <c r="Q22" s="2601"/>
      <c r="R22" s="1570"/>
      <c r="S22" s="1571"/>
      <c r="T22" s="1570"/>
      <c r="U22" s="1571"/>
      <c r="V22" s="1570"/>
      <c r="W22" s="1571"/>
      <c r="X22" s="2603"/>
      <c r="Y22" s="3387"/>
      <c r="Z22" s="2602"/>
      <c r="AA22" s="1573">
        <v>1</v>
      </c>
      <c r="AB22" s="1573">
        <v>1</v>
      </c>
      <c r="AC22" s="1573">
        <v>1</v>
      </c>
    </row>
    <row r="23" spans="1:29" ht="71.25">
      <c r="A23" s="529"/>
      <c r="B23" s="868" t="s">
        <v>779</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40"/>
      <c r="M23" s="2132"/>
      <c r="N23" s="2132"/>
      <c r="O23" s="2139"/>
      <c r="P23" s="3387"/>
      <c r="Q23" s="1569" t="str">
        <f>B23</f>
        <v>环境质量</v>
      </c>
      <c r="R23" s="1570" t="s">
        <v>8</v>
      </c>
      <c r="S23" s="1571">
        <f>F23</f>
        <v>100</v>
      </c>
      <c r="T23" s="1570" t="s">
        <v>8</v>
      </c>
      <c r="U23" s="1571">
        <f>H23</f>
        <v>100</v>
      </c>
      <c r="V23" s="1570" t="s">
        <v>8</v>
      </c>
      <c r="W23" s="1571">
        <f>J23</f>
        <v>100</v>
      </c>
      <c r="X23" s="1564"/>
      <c r="Y23" s="3387"/>
      <c r="Z23" s="1572" t="str">
        <f>Q23</f>
        <v>环境质量</v>
      </c>
      <c r="AA23" s="1573">
        <f t="shared" si="3"/>
        <v>1</v>
      </c>
      <c r="AB23" s="1573">
        <f t="shared" si="4"/>
        <v>1</v>
      </c>
      <c r="AC23" s="1573">
        <f t="shared" si="5"/>
        <v>1</v>
      </c>
    </row>
    <row r="24" spans="1:29" ht="15">
      <c r="A24" s="529"/>
      <c r="B24" s="918"/>
      <c r="C24" s="573"/>
      <c r="D24" s="552"/>
      <c r="E24" s="553"/>
      <c r="F24" s="554"/>
      <c r="G24" s="555"/>
      <c r="H24" s="552"/>
      <c r="I24" s="553"/>
      <c r="J24" s="552"/>
      <c r="K24" s="895"/>
      <c r="L24" s="2140"/>
      <c r="M24" s="2132"/>
      <c r="N24" s="2132"/>
      <c r="O24" s="2139"/>
      <c r="P24" s="3387"/>
      <c r="Q24" s="1569"/>
      <c r="R24" s="1570"/>
      <c r="S24" s="1571"/>
      <c r="T24" s="1570"/>
      <c r="U24" s="1571"/>
      <c r="V24" s="1570"/>
      <c r="W24" s="1571"/>
      <c r="X24" s="1564"/>
      <c r="Y24" s="3387"/>
      <c r="Z24" s="1572"/>
      <c r="AA24" s="1573">
        <v>1</v>
      </c>
      <c r="AB24" s="1573">
        <v>1</v>
      </c>
      <c r="AC24" s="1573">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0"/>
      <c r="M25" s="2132"/>
      <c r="N25" s="2132"/>
      <c r="O25" s="2139"/>
      <c r="P25" s="3387"/>
      <c r="Q25" s="1569">
        <f>B25</f>
        <v>111</v>
      </c>
      <c r="R25" s="1570" t="s">
        <v>8</v>
      </c>
      <c r="S25" s="1571">
        <f>F25</f>
        <v>100</v>
      </c>
      <c r="T25" s="1570" t="s">
        <v>8</v>
      </c>
      <c r="U25" s="1571">
        <f>H25</f>
        <v>100</v>
      </c>
      <c r="V25" s="1570" t="s">
        <v>8</v>
      </c>
      <c r="W25" s="1571">
        <f>J25</f>
        <v>100</v>
      </c>
      <c r="X25" s="1564"/>
      <c r="Y25" s="3387"/>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0"/>
      <c r="M26" s="2132"/>
      <c r="N26" s="2132"/>
      <c r="O26" s="2139"/>
      <c r="P26" s="3387"/>
      <c r="Q26" s="1569">
        <f t="shared" ref="Q26:Q40" si="11">B26</f>
        <v>111</v>
      </c>
      <c r="R26" s="1570" t="s">
        <v>8</v>
      </c>
      <c r="S26" s="1571">
        <f>F26</f>
        <v>100</v>
      </c>
      <c r="T26" s="1570" t="s">
        <v>8</v>
      </c>
      <c r="U26" s="1571">
        <f>H26</f>
        <v>100</v>
      </c>
      <c r="V26" s="1570" t="s">
        <v>8</v>
      </c>
      <c r="W26" s="1571">
        <f>J26</f>
        <v>100</v>
      </c>
      <c r="X26" s="1564"/>
      <c r="Y26" s="3387"/>
      <c r="Z26" s="1572">
        <f>Q26</f>
        <v>111</v>
      </c>
      <c r="AA26" s="1573">
        <f t="shared" si="3"/>
        <v>1</v>
      </c>
      <c r="AB26" s="1573">
        <f t="shared" si="4"/>
        <v>1</v>
      </c>
      <c r="AC26" s="1573">
        <f t="shared" si="5"/>
        <v>1</v>
      </c>
    </row>
    <row r="27" spans="1:29" s="1216"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3"/>
      <c r="M27" s="2134"/>
      <c r="N27" s="2134"/>
      <c r="O27" s="2135"/>
      <c r="P27" s="3387"/>
      <c r="Q27" s="1147">
        <f t="shared" si="11"/>
        <v>111</v>
      </c>
      <c r="R27" s="1565" t="s">
        <v>8</v>
      </c>
      <c r="S27" s="1566">
        <f>F27</f>
        <v>100</v>
      </c>
      <c r="T27" s="1565" t="s">
        <v>8</v>
      </c>
      <c r="U27" s="1566">
        <f>H27</f>
        <v>100</v>
      </c>
      <c r="V27" s="1565" t="s">
        <v>8</v>
      </c>
      <c r="W27" s="1566">
        <f>J27</f>
        <v>100</v>
      </c>
      <c r="X27" s="1567"/>
      <c r="Y27" s="3387"/>
      <c r="Z27" s="1146">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40"/>
      <c r="M28" s="2132"/>
      <c r="N28" s="2132"/>
      <c r="O28" s="2139"/>
      <c r="P28" s="3387"/>
      <c r="Q28" s="1569">
        <f t="shared" si="11"/>
        <v>111</v>
      </c>
      <c r="R28" s="1570" t="s">
        <v>8</v>
      </c>
      <c r="S28" s="1571">
        <f t="shared" ref="S28:S40" si="12">F28</f>
        <v>100</v>
      </c>
      <c r="T28" s="1570" t="s">
        <v>8</v>
      </c>
      <c r="U28" s="1571">
        <f t="shared" ref="U28:U40" si="13">H28</f>
        <v>100</v>
      </c>
      <c r="V28" s="1570" t="s">
        <v>8</v>
      </c>
      <c r="W28" s="1571">
        <f t="shared" ref="W28:W40" si="14">J28</f>
        <v>100</v>
      </c>
      <c r="X28" s="1564"/>
      <c r="Y28" s="3387"/>
      <c r="Z28" s="1572">
        <f t="shared" ref="Z28:Z40" si="15">Q28</f>
        <v>111</v>
      </c>
      <c r="AA28" s="1573">
        <f t="shared" si="3"/>
        <v>1</v>
      </c>
      <c r="AB28" s="1573">
        <f t="shared" si="4"/>
        <v>1</v>
      </c>
      <c r="AC28" s="1573">
        <f t="shared" si="5"/>
        <v>1</v>
      </c>
    </row>
    <row r="29" spans="1:29" ht="15">
      <c r="A29" s="2931" t="s">
        <v>2764</v>
      </c>
      <c r="B29" s="172" t="s">
        <v>781</v>
      </c>
      <c r="C29" s="912"/>
      <c r="D29" s="594">
        <v>100</v>
      </c>
      <c r="E29" s="912"/>
      <c r="F29" s="572">
        <f>SUMIF(88:88,E29,89:89)-SUMIF(88:88,C29,89:89)+100</f>
        <v>100</v>
      </c>
      <c r="G29" s="912"/>
      <c r="H29" s="537">
        <f>SUMIF(88:88,G29,89:89)-SUMIF(88:88,C29,89:89)+100</f>
        <v>100</v>
      </c>
      <c r="I29" s="912"/>
      <c r="J29" s="594">
        <f>SUMIF(88:88,I29,89:89)-SUMIF(88:88,C29,89:89)+100</f>
        <v>100</v>
      </c>
      <c r="K29" s="581"/>
      <c r="L29" s="2140"/>
      <c r="M29" s="2132"/>
      <c r="N29" s="2132"/>
      <c r="O29" s="2139"/>
      <c r="P29" s="3388" t="s">
        <v>551</v>
      </c>
      <c r="Q29" s="1569" t="str">
        <f t="shared" si="11"/>
        <v>建筑类型</v>
      </c>
      <c r="R29" s="1570" t="s">
        <v>8</v>
      </c>
      <c r="S29" s="1571">
        <f t="shared" si="12"/>
        <v>100</v>
      </c>
      <c r="T29" s="1570" t="s">
        <v>8</v>
      </c>
      <c r="U29" s="1571">
        <f t="shared" si="13"/>
        <v>100</v>
      </c>
      <c r="V29" s="1570" t="s">
        <v>8</v>
      </c>
      <c r="W29" s="1571">
        <f t="shared" si="14"/>
        <v>100</v>
      </c>
      <c r="X29" s="1564"/>
      <c r="Y29" s="3389" t="s">
        <v>551</v>
      </c>
      <c r="Z29" s="1572" t="str">
        <f t="shared" si="15"/>
        <v>建筑类型</v>
      </c>
      <c r="AA29" s="1573">
        <f t="shared" si="3"/>
        <v>1</v>
      </c>
      <c r="AB29" s="1573">
        <f t="shared" si="4"/>
        <v>1</v>
      </c>
      <c r="AC29" s="1573">
        <f t="shared" si="5"/>
        <v>1</v>
      </c>
    </row>
    <row r="30" spans="1:29" s="1335" customFormat="1" ht="15">
      <c r="A30" s="600"/>
      <c r="B30" s="524" t="s">
        <v>727</v>
      </c>
      <c r="C30" s="876"/>
      <c r="D30" s="254">
        <v>100</v>
      </c>
      <c r="E30" s="531"/>
      <c r="F30" s="860" t="e">
        <f>LOOKUP(E30,91:91,92:92)-LOOKUP(C30,91:91,92:92)+100</f>
        <v>#N/A</v>
      </c>
      <c r="G30" s="530"/>
      <c r="H30" s="254" t="e">
        <f>LOOKUP(G30,91:91,92:92)-LOOKUP(C30,91:91,92:92)+100</f>
        <v>#N/A</v>
      </c>
      <c r="I30" s="530"/>
      <c r="J30" s="254" t="e">
        <f>LOOKUP(I30,91:91,92:92)-LOOKUP(C30,91:91,92:92)+100</f>
        <v>#N/A</v>
      </c>
      <c r="K30" s="578"/>
      <c r="L30" s="2138"/>
      <c r="M30" s="2169"/>
      <c r="N30" s="2169"/>
      <c r="O30" s="2141"/>
      <c r="P30" s="3389"/>
      <c r="Q30" s="1602" t="str">
        <f t="shared" si="11"/>
        <v>项目建筑规模</v>
      </c>
      <c r="R30" s="1574" t="s">
        <v>8</v>
      </c>
      <c r="S30" s="1575" t="e">
        <f t="shared" si="12"/>
        <v>#N/A</v>
      </c>
      <c r="T30" s="1574" t="s">
        <v>8</v>
      </c>
      <c r="U30" s="1575" t="e">
        <f t="shared" si="13"/>
        <v>#N/A</v>
      </c>
      <c r="V30" s="1574" t="s">
        <v>8</v>
      </c>
      <c r="W30" s="1575" t="e">
        <f t="shared" si="14"/>
        <v>#N/A</v>
      </c>
      <c r="X30" s="1576"/>
      <c r="Y30" s="3389"/>
      <c r="Z30" s="1577" t="str">
        <f t="shared" si="15"/>
        <v>项目建筑规模</v>
      </c>
      <c r="AA30" s="1573" t="e">
        <f t="shared" si="3"/>
        <v>#N/A</v>
      </c>
      <c r="AB30" s="1573" t="e">
        <f t="shared" si="4"/>
        <v>#N/A</v>
      </c>
      <c r="AC30" s="1573" t="e">
        <f t="shared" si="5"/>
        <v>#N/A</v>
      </c>
    </row>
    <row r="31" spans="1:29" ht="15">
      <c r="A31" s="591"/>
      <c r="B31" s="524" t="s">
        <v>728</v>
      </c>
      <c r="C31" s="571"/>
      <c r="D31" s="537">
        <v>100</v>
      </c>
      <c r="E31" s="571"/>
      <c r="F31" s="572">
        <f>SUMIF(93:93,E31,94:94)-SUMIF(93:93,C31,94:94)+100</f>
        <v>100</v>
      </c>
      <c r="G31" s="571"/>
      <c r="H31" s="537">
        <f>SUMIF(93:93,G31,94:94)-SUMIF(93:93,C31,94:94)+100</f>
        <v>100</v>
      </c>
      <c r="I31" s="571"/>
      <c r="J31" s="537">
        <f>SUMIF(93:93,I31,94:94)-SUMIF(93:93,C31,94:94)+100</f>
        <v>100</v>
      </c>
      <c r="K31" s="581"/>
      <c r="L31" s="2140"/>
      <c r="M31" s="2132"/>
      <c r="N31" s="2132"/>
      <c r="O31" s="2139"/>
      <c r="P31" s="3389"/>
      <c r="Q31" s="1569" t="str">
        <f t="shared" si="11"/>
        <v>建筑结构</v>
      </c>
      <c r="R31" s="1570" t="s">
        <v>8</v>
      </c>
      <c r="S31" s="1571">
        <f t="shared" si="12"/>
        <v>100</v>
      </c>
      <c r="T31" s="1570" t="s">
        <v>8</v>
      </c>
      <c r="U31" s="1571">
        <f t="shared" si="13"/>
        <v>100</v>
      </c>
      <c r="V31" s="1570" t="s">
        <v>8</v>
      </c>
      <c r="W31" s="1571">
        <f t="shared" si="14"/>
        <v>100</v>
      </c>
      <c r="X31" s="1564"/>
      <c r="Y31" s="3389"/>
      <c r="Z31" s="1572" t="str">
        <f t="shared" si="15"/>
        <v>建筑结构</v>
      </c>
      <c r="AA31" s="1573">
        <f t="shared" si="3"/>
        <v>1</v>
      </c>
      <c r="AB31" s="1573">
        <f t="shared" si="4"/>
        <v>1</v>
      </c>
      <c r="AC31" s="1573">
        <f t="shared" si="5"/>
        <v>1</v>
      </c>
    </row>
    <row r="32" spans="1:29" ht="15">
      <c r="A32" s="591"/>
      <c r="B32" s="524" t="s">
        <v>764</v>
      </c>
      <c r="C32" s="571"/>
      <c r="D32" s="537">
        <v>100</v>
      </c>
      <c r="E32" s="571"/>
      <c r="F32" s="572">
        <f>SUMIF(95:95,E32,96:96)-SUMIF(95:95,C32,96:96)+100</f>
        <v>100</v>
      </c>
      <c r="G32" s="571"/>
      <c r="H32" s="537">
        <f>SUMIF(95:95,G32,96:96)-SUMIF(95:95,C32,96:96)+100</f>
        <v>100</v>
      </c>
      <c r="I32" s="571"/>
      <c r="J32" s="537">
        <f>SUMIF(95:95,I32,96:96)-SUMIF(95:95,C32,96:96)+100</f>
        <v>100</v>
      </c>
      <c r="K32" s="581"/>
      <c r="L32" s="2140"/>
      <c r="M32" s="2132"/>
      <c r="N32" s="2132"/>
      <c r="O32" s="2139"/>
      <c r="P32" s="3389"/>
      <c r="Q32" s="1569" t="str">
        <f t="shared" si="11"/>
        <v>公共部分装修</v>
      </c>
      <c r="R32" s="1570" t="s">
        <v>8</v>
      </c>
      <c r="S32" s="1571">
        <f t="shared" si="12"/>
        <v>100</v>
      </c>
      <c r="T32" s="1570" t="s">
        <v>8</v>
      </c>
      <c r="U32" s="1571">
        <f t="shared" si="13"/>
        <v>100</v>
      </c>
      <c r="V32" s="1570" t="s">
        <v>8</v>
      </c>
      <c r="W32" s="1571">
        <f t="shared" si="14"/>
        <v>100</v>
      </c>
      <c r="X32" s="1564"/>
      <c r="Y32" s="3389"/>
      <c r="Z32" s="1572" t="str">
        <f t="shared" si="15"/>
        <v>公共部分装修</v>
      </c>
      <c r="AA32" s="1573">
        <f t="shared" si="3"/>
        <v>1</v>
      </c>
      <c r="AB32" s="1573">
        <f t="shared" si="4"/>
        <v>1</v>
      </c>
      <c r="AC32" s="1573">
        <f t="shared" si="5"/>
        <v>1</v>
      </c>
    </row>
    <row r="33" spans="1:29" ht="15">
      <c r="A33" s="591"/>
      <c r="B33" s="524" t="s">
        <v>765</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40"/>
      <c r="M33" s="2132"/>
      <c r="N33" s="2132"/>
      <c r="O33" s="2139"/>
      <c r="P33" s="3389"/>
      <c r="Q33" s="1569" t="str">
        <f t="shared" si="11"/>
        <v>成新度</v>
      </c>
      <c r="R33" s="1570" t="s">
        <v>8</v>
      </c>
      <c r="S33" s="1571" t="e">
        <f t="shared" si="12"/>
        <v>#N/A</v>
      </c>
      <c r="T33" s="1570" t="s">
        <v>8</v>
      </c>
      <c r="U33" s="1571" t="e">
        <f t="shared" si="13"/>
        <v>#N/A</v>
      </c>
      <c r="V33" s="1570" t="s">
        <v>8</v>
      </c>
      <c r="W33" s="1571" t="e">
        <f t="shared" si="14"/>
        <v>#N/A</v>
      </c>
      <c r="X33" s="1564"/>
      <c r="Y33" s="3389"/>
      <c r="Z33" s="1572" t="str">
        <f t="shared" si="15"/>
        <v>成新度</v>
      </c>
      <c r="AA33" s="1573" t="e">
        <f t="shared" si="3"/>
        <v>#N/A</v>
      </c>
      <c r="AB33" s="1573" t="e">
        <f t="shared" si="4"/>
        <v>#N/A</v>
      </c>
      <c r="AC33" s="1573" t="e">
        <f t="shared" si="5"/>
        <v>#N/A</v>
      </c>
    </row>
    <row r="34" spans="1:29" s="1216" customFormat="1" ht="15">
      <c r="A34" s="597"/>
      <c r="B34" s="524" t="s">
        <v>783</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33"/>
      <c r="M34" s="2134"/>
      <c r="N34" s="2134"/>
      <c r="O34" s="2135"/>
      <c r="P34" s="3389"/>
      <c r="Q34" s="1147" t="str">
        <f t="shared" si="11"/>
        <v>物业管理</v>
      </c>
      <c r="R34" s="1565" t="s">
        <v>8</v>
      </c>
      <c r="S34" s="1566">
        <f t="shared" si="12"/>
        <v>100</v>
      </c>
      <c r="T34" s="1565" t="s">
        <v>8</v>
      </c>
      <c r="U34" s="1566">
        <f t="shared" si="13"/>
        <v>100</v>
      </c>
      <c r="V34" s="1565" t="s">
        <v>8</v>
      </c>
      <c r="W34" s="1566">
        <f t="shared" si="14"/>
        <v>100</v>
      </c>
      <c r="X34" s="1567"/>
      <c r="Y34" s="3389"/>
      <c r="Z34" s="1146" t="str">
        <f t="shared" si="15"/>
        <v>物业管理</v>
      </c>
      <c r="AA34" s="1568">
        <f t="shared" si="3"/>
        <v>1</v>
      </c>
      <c r="AB34" s="1568">
        <f t="shared" si="4"/>
        <v>1</v>
      </c>
      <c r="AC34" s="1568">
        <f t="shared" si="5"/>
        <v>1</v>
      </c>
    </row>
    <row r="35" spans="1:29" ht="15">
      <c r="A35" s="591"/>
      <c r="B35" s="1893" t="s">
        <v>2572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0"/>
      <c r="M35" s="2132"/>
      <c r="N35" s="2132"/>
      <c r="O35" s="2139"/>
      <c r="P35" s="3389" t="s">
        <v>551</v>
      </c>
      <c r="Q35" s="1569" t="str">
        <f t="shared" si="11"/>
        <v>市政基础设施</v>
      </c>
      <c r="R35" s="1570" t="s">
        <v>8</v>
      </c>
      <c r="S35" s="1571">
        <f t="shared" si="12"/>
        <v>100</v>
      </c>
      <c r="T35" s="1570" t="s">
        <v>8</v>
      </c>
      <c r="U35" s="1571">
        <f t="shared" si="13"/>
        <v>100</v>
      </c>
      <c r="V35" s="1570" t="s">
        <v>8</v>
      </c>
      <c r="W35" s="1571">
        <f t="shared" si="14"/>
        <v>100</v>
      </c>
      <c r="X35" s="1564"/>
      <c r="Y35" s="3389" t="s">
        <v>551</v>
      </c>
      <c r="Z35" s="1572" t="str">
        <f t="shared" si="15"/>
        <v>市政基础设施</v>
      </c>
      <c r="AA35" s="1573">
        <f t="shared" si="3"/>
        <v>1</v>
      </c>
      <c r="AB35" s="1573">
        <f t="shared" si="4"/>
        <v>1</v>
      </c>
      <c r="AC35" s="1573">
        <f t="shared" si="5"/>
        <v>1</v>
      </c>
    </row>
    <row r="36" spans="1:29" ht="15">
      <c r="A36" s="591"/>
      <c r="B36" s="524" t="s">
        <v>771</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0"/>
      <c r="M36" s="2132"/>
      <c r="N36" s="2132"/>
      <c r="O36" s="2139"/>
      <c r="P36" s="3389"/>
      <c r="Q36" s="1569" t="str">
        <f t="shared" si="11"/>
        <v>内部装修</v>
      </c>
      <c r="R36" s="1570" t="s">
        <v>8</v>
      </c>
      <c r="S36" s="1571">
        <f t="shared" si="12"/>
        <v>100</v>
      </c>
      <c r="T36" s="1570" t="s">
        <v>8</v>
      </c>
      <c r="U36" s="1571">
        <f t="shared" si="13"/>
        <v>100</v>
      </c>
      <c r="V36" s="1570" t="s">
        <v>8</v>
      </c>
      <c r="W36" s="1571">
        <f t="shared" si="14"/>
        <v>100</v>
      </c>
      <c r="X36" s="1564"/>
      <c r="Y36" s="3389"/>
      <c r="Z36" s="1572" t="str">
        <f t="shared" si="15"/>
        <v>内部装修</v>
      </c>
      <c r="AA36" s="1573">
        <f t="shared" si="3"/>
        <v>1</v>
      </c>
      <c r="AB36" s="1573">
        <f t="shared" si="4"/>
        <v>1</v>
      </c>
      <c r="AC36" s="1573">
        <f t="shared" si="5"/>
        <v>1</v>
      </c>
    </row>
    <row r="37" spans="1:29" ht="15">
      <c r="A37" s="591"/>
      <c r="B37" s="524" t="s">
        <v>791</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0"/>
      <c r="M37" s="2132"/>
      <c r="N37" s="2132"/>
      <c r="O37" s="2139"/>
      <c r="P37" s="3389"/>
      <c r="Q37" s="1569" t="str">
        <f t="shared" si="11"/>
        <v>内部装修状况</v>
      </c>
      <c r="R37" s="1570" t="s">
        <v>8</v>
      </c>
      <c r="S37" s="1571">
        <f t="shared" si="12"/>
        <v>100</v>
      </c>
      <c r="T37" s="1570" t="s">
        <v>8</v>
      </c>
      <c r="U37" s="1571">
        <f t="shared" si="13"/>
        <v>100</v>
      </c>
      <c r="V37" s="1570" t="s">
        <v>8</v>
      </c>
      <c r="W37" s="1571">
        <f t="shared" si="14"/>
        <v>100</v>
      </c>
      <c r="X37" s="1564"/>
      <c r="Y37" s="3389"/>
      <c r="Z37" s="1572" t="str">
        <f t="shared" si="15"/>
        <v>内部装修状况</v>
      </c>
      <c r="AA37" s="1573">
        <f t="shared" si="3"/>
        <v>1</v>
      </c>
      <c r="AB37" s="1573">
        <f t="shared" si="4"/>
        <v>1</v>
      </c>
      <c r="AC37" s="1573">
        <f t="shared" si="5"/>
        <v>1</v>
      </c>
    </row>
    <row r="38" spans="1:29" s="1335"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8"/>
      <c r="M38" s="2169"/>
      <c r="N38" s="2169"/>
      <c r="O38" s="2141"/>
      <c r="P38" s="3389"/>
      <c r="Q38" s="1602">
        <f t="shared" si="11"/>
        <v>111</v>
      </c>
      <c r="R38" s="1574" t="s">
        <v>8</v>
      </c>
      <c r="S38" s="1575">
        <f t="shared" si="12"/>
        <v>100</v>
      </c>
      <c r="T38" s="1574" t="s">
        <v>8</v>
      </c>
      <c r="U38" s="1575">
        <f t="shared" si="13"/>
        <v>100</v>
      </c>
      <c r="V38" s="1574" t="s">
        <v>8</v>
      </c>
      <c r="W38" s="1575">
        <f t="shared" si="14"/>
        <v>100</v>
      </c>
      <c r="X38" s="1576"/>
      <c r="Y38" s="3389"/>
      <c r="Z38" s="1577">
        <f t="shared" si="15"/>
        <v>111</v>
      </c>
      <c r="AA38" s="1573">
        <f t="shared" si="3"/>
        <v>1</v>
      </c>
      <c r="AB38" s="1573">
        <f t="shared" si="4"/>
        <v>1</v>
      </c>
      <c r="AC38" s="1573">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40"/>
      <c r="M39" s="2132"/>
      <c r="N39" s="2132"/>
      <c r="O39" s="2139"/>
      <c r="P39" s="3389"/>
      <c r="Q39" s="1569">
        <f t="shared" si="11"/>
        <v>111</v>
      </c>
      <c r="R39" s="1570" t="s">
        <v>8</v>
      </c>
      <c r="S39" s="1571">
        <f t="shared" si="12"/>
        <v>100</v>
      </c>
      <c r="T39" s="1570" t="s">
        <v>8</v>
      </c>
      <c r="U39" s="1571">
        <f t="shared" si="13"/>
        <v>100</v>
      </c>
      <c r="V39" s="1570" t="s">
        <v>8</v>
      </c>
      <c r="W39" s="1571">
        <f t="shared" si="14"/>
        <v>100</v>
      </c>
      <c r="X39" s="1564"/>
      <c r="Y39" s="3389"/>
      <c r="Z39" s="1572">
        <f t="shared" si="15"/>
        <v>111</v>
      </c>
      <c r="AA39" s="1573">
        <f t="shared" si="3"/>
        <v>1</v>
      </c>
      <c r="AB39" s="1573">
        <f t="shared" si="4"/>
        <v>1</v>
      </c>
      <c r="AC39" s="1573">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40"/>
      <c r="M40" s="2132"/>
      <c r="N40" s="2132"/>
      <c r="O40" s="2139"/>
      <c r="P40" s="3467"/>
      <c r="Q40" s="1569">
        <f t="shared" si="11"/>
        <v>111</v>
      </c>
      <c r="R40" s="1570" t="s">
        <v>8</v>
      </c>
      <c r="S40" s="1571">
        <f t="shared" si="12"/>
        <v>100</v>
      </c>
      <c r="T40" s="1570" t="s">
        <v>8</v>
      </c>
      <c r="U40" s="1571">
        <f t="shared" si="13"/>
        <v>100</v>
      </c>
      <c r="V40" s="1570" t="s">
        <v>8</v>
      </c>
      <c r="W40" s="1571">
        <f t="shared" si="14"/>
        <v>100</v>
      </c>
      <c r="X40" s="1564"/>
      <c r="Y40" s="3467"/>
      <c r="Z40" s="1572">
        <f t="shared" si="15"/>
        <v>111</v>
      </c>
      <c r="AA40" s="1573">
        <f t="shared" si="3"/>
        <v>1</v>
      </c>
      <c r="AB40" s="1573">
        <f t="shared" si="4"/>
        <v>1</v>
      </c>
      <c r="AC40" s="1573">
        <f t="shared" si="5"/>
        <v>1</v>
      </c>
    </row>
    <row r="41" spans="1:29" ht="15">
      <c r="A41" s="604" t="s">
        <v>737</v>
      </c>
      <c r="B41" s="883"/>
      <c r="C41" s="2649" t="s">
        <v>1</v>
      </c>
      <c r="D41" s="2650"/>
      <c r="E41" s="2651"/>
      <c r="F41" s="2652"/>
      <c r="G41" s="2653"/>
      <c r="H41" s="2654"/>
      <c r="I41" s="2651"/>
      <c r="J41" s="2654"/>
      <c r="K41" s="1608"/>
      <c r="L41" s="2142"/>
      <c r="M41" s="2143"/>
      <c r="N41" s="2132"/>
      <c r="O41" s="2143"/>
      <c r="P41" s="3384" t="str">
        <f>A41</f>
        <v>成交单价（元/平方米）</v>
      </c>
      <c r="Q41" s="3384"/>
      <c r="R41" s="3466">
        <f>E41</f>
        <v>0</v>
      </c>
      <c r="S41" s="3466"/>
      <c r="T41" s="3466">
        <f>G41</f>
        <v>0</v>
      </c>
      <c r="U41" s="3466"/>
      <c r="V41" s="3466">
        <f>I41</f>
        <v>0</v>
      </c>
      <c r="W41" s="3466"/>
      <c r="X41" s="1556"/>
      <c r="Y41" s="1578"/>
      <c r="Z41" s="1556"/>
      <c r="AA41" s="1556"/>
      <c r="AB41" s="1556"/>
      <c r="AC41" s="1556"/>
    </row>
    <row r="42" spans="1:29" ht="15.75" thickBot="1">
      <c r="A42" s="612" t="s">
        <v>2769</v>
      </c>
      <c r="B42" s="884"/>
      <c r="C42" s="2655" t="e">
        <f>R43</f>
        <v>#DIV/0!</v>
      </c>
      <c r="D42" s="2656"/>
      <c r="E42" s="2657" t="e">
        <f>R42</f>
        <v>#DIV/0!</v>
      </c>
      <c r="F42" s="2657"/>
      <c r="G42" s="2655" t="e">
        <f>T42</f>
        <v>#DIV/0!</v>
      </c>
      <c r="H42" s="2656"/>
      <c r="I42" s="2657" t="e">
        <f>V42</f>
        <v>#DIV/0!</v>
      </c>
      <c r="J42" s="2656"/>
      <c r="K42" s="1609"/>
      <c r="L42" s="2142"/>
      <c r="M42" s="2143"/>
      <c r="N42" s="2132"/>
      <c r="O42" s="2143"/>
      <c r="P42" s="3384" t="str">
        <f>A42</f>
        <v>比较价格（元/平方米）</v>
      </c>
      <c r="Q42" s="3384"/>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56"/>
      <c r="Y42" s="1556"/>
      <c r="Z42" s="1556"/>
      <c r="AA42" s="1556"/>
      <c r="AB42" s="1556"/>
      <c r="AC42" s="1556"/>
    </row>
    <row r="43" spans="1:29" ht="15.75" thickBot="1">
      <c r="A43" s="618" t="s">
        <v>2946</v>
      </c>
      <c r="B43" s="619"/>
      <c r="C43" s="2658" t="e">
        <f>R43</f>
        <v>#DIV/0!</v>
      </c>
      <c r="D43" s="2658"/>
      <c r="E43" s="2658"/>
      <c r="F43" s="2658"/>
      <c r="G43" s="2658"/>
      <c r="H43" s="2658"/>
      <c r="I43" s="2658"/>
      <c r="J43" s="2658"/>
      <c r="K43" s="1610"/>
      <c r="L43" s="2142"/>
      <c r="M43" s="2143"/>
      <c r="N43" s="2143"/>
      <c r="O43" s="2143"/>
      <c r="P43" s="3406" t="str">
        <f>A43</f>
        <v>估价对象XX用房的比较价格（楼面单价，元/平方米）</v>
      </c>
      <c r="Q43" s="3407"/>
      <c r="R43" s="3465" t="e">
        <f>IF(F1="售价",ROUND(AVERAGE(R42:V42),0),ROUND(AVERAGE(R42:V42),1))</f>
        <v>#DIV/0!</v>
      </c>
      <c r="S43" s="3465"/>
      <c r="T43" s="3465"/>
      <c r="U43" s="3465"/>
      <c r="V43" s="3465"/>
      <c r="W43" s="3465"/>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2" t="s">
        <v>530</v>
      </c>
      <c r="B52" s="643"/>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8"/>
      <c r="Q52" s="2159"/>
      <c r="R52" s="2159"/>
      <c r="S52" s="2159"/>
      <c r="T52" s="2159"/>
      <c r="U52" s="2159"/>
      <c r="V52" s="2159"/>
      <c r="W52" s="2159"/>
      <c r="X52" s="2159"/>
      <c r="Y52" s="2159"/>
      <c r="Z52" s="2159"/>
      <c r="AA52" s="2159"/>
      <c r="AB52" s="2159"/>
      <c r="AC52" s="2159"/>
    </row>
    <row r="53" spans="1:29" s="1216" customFormat="1" ht="15">
      <c r="A53" s="644"/>
      <c r="B53" s="645"/>
      <c r="C53" s="646">
        <v>100</v>
      </c>
      <c r="D53" s="647"/>
      <c r="E53" s="647"/>
      <c r="F53" s="647"/>
      <c r="G53" s="647"/>
      <c r="H53" s="647"/>
      <c r="I53" s="647"/>
      <c r="J53" s="647"/>
      <c r="K53" s="647"/>
      <c r="L53" s="647"/>
      <c r="M53" s="648"/>
      <c r="N53" s="647"/>
      <c r="O53" s="649"/>
      <c r="P53" s="2156"/>
      <c r="Q53" s="1991"/>
      <c r="R53" s="1991"/>
      <c r="S53" s="1991"/>
      <c r="T53" s="1991"/>
      <c r="U53" s="1991"/>
      <c r="V53" s="1991"/>
      <c r="W53" s="1991"/>
      <c r="X53" s="1991"/>
      <c r="Y53" s="1991"/>
      <c r="Z53" s="1991"/>
      <c r="AA53" s="1991"/>
      <c r="AB53" s="1991"/>
      <c r="AC53" s="1991"/>
    </row>
    <row r="54" spans="1:29" s="1216" customFormat="1" ht="15.75" thickBot="1">
      <c r="A54" s="650" t="s">
        <v>576</v>
      </c>
      <c r="B54" s="651"/>
      <c r="C54" s="652"/>
      <c r="D54" s="653"/>
      <c r="E54" s="653"/>
      <c r="F54" s="653"/>
      <c r="G54" s="653"/>
      <c r="H54" s="653"/>
      <c r="I54" s="653"/>
      <c r="J54" s="653"/>
      <c r="K54" s="653"/>
      <c r="L54" s="653"/>
      <c r="M54" s="654"/>
      <c r="N54" s="653"/>
      <c r="O54" s="655"/>
      <c r="P54" s="2156"/>
      <c r="Q54" s="2156"/>
      <c r="R54" s="1991"/>
      <c r="S54" s="1991"/>
      <c r="T54" s="1991"/>
      <c r="U54" s="1991"/>
      <c r="V54" s="1991"/>
      <c r="W54" s="1991"/>
      <c r="X54" s="1991"/>
      <c r="Y54" s="1991"/>
      <c r="Z54" s="1991"/>
      <c r="AA54" s="1991"/>
      <c r="AB54" s="1991"/>
      <c r="AC54" s="1991"/>
    </row>
    <row r="55" spans="1:29" s="1216" customFormat="1" ht="15">
      <c r="A55" s="656" t="s">
        <v>532</v>
      </c>
      <c r="B55" s="645"/>
      <c r="C55" s="657" t="s">
        <v>577</v>
      </c>
      <c r="D55" s="658"/>
      <c r="E55" s="658"/>
      <c r="F55" s="658"/>
      <c r="G55" s="658"/>
      <c r="H55" s="658"/>
      <c r="I55" s="658"/>
      <c r="J55" s="658"/>
      <c r="K55" s="658"/>
      <c r="L55" s="659"/>
      <c r="M55" s="660"/>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6"/>
      <c r="B56" s="645"/>
      <c r="C56" s="646">
        <v>100</v>
      </c>
      <c r="D56" s="647"/>
      <c r="E56" s="647"/>
      <c r="F56" s="647"/>
      <c r="G56" s="647"/>
      <c r="H56" s="647"/>
      <c r="I56" s="647"/>
      <c r="J56" s="647"/>
      <c r="K56" s="647"/>
      <c r="L56" s="647"/>
      <c r="M56" s="649"/>
      <c r="N56" s="2160"/>
      <c r="O56" s="2160"/>
      <c r="P56" s="2156"/>
      <c r="Q56" s="2156"/>
      <c r="R56" s="1991"/>
      <c r="S56" s="1991"/>
      <c r="T56" s="1991"/>
      <c r="U56" s="1991"/>
      <c r="V56" s="1991"/>
      <c r="W56" s="1991"/>
      <c r="X56" s="1991"/>
      <c r="Y56" s="1991"/>
      <c r="Z56" s="1991"/>
      <c r="AA56" s="1991"/>
      <c r="AB56" s="1991"/>
      <c r="AC56" s="1991"/>
    </row>
    <row r="57" spans="1:29">
      <c r="A57" s="661" t="s">
        <v>578</v>
      </c>
      <c r="B57" s="662" t="s">
        <v>535</v>
      </c>
      <c r="C57" s="701">
        <f>C9</f>
        <v>0</v>
      </c>
      <c r="D57" s="595"/>
      <c r="E57" s="595"/>
      <c r="F57" s="595"/>
      <c r="G57" s="595"/>
      <c r="H57" s="595"/>
      <c r="I57" s="595"/>
      <c r="J57" s="595"/>
      <c r="K57" s="663"/>
      <c r="L57" s="664"/>
      <c r="M57" s="665"/>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68"/>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62"/>
      <c r="O59" s="2162"/>
      <c r="P59" s="2163"/>
      <c r="Q59" s="2156"/>
      <c r="R59" s="2143"/>
      <c r="S59" s="2143"/>
      <c r="T59" s="2143"/>
      <c r="U59" s="2143"/>
      <c r="V59" s="2143"/>
      <c r="W59" s="2143"/>
      <c r="X59" s="2143"/>
      <c r="Y59" s="2143"/>
      <c r="Z59" s="2143"/>
      <c r="AA59" s="2143"/>
      <c r="AB59" s="2143"/>
      <c r="AC59" s="2143"/>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4"/>
      <c r="O60" s="2164"/>
      <c r="P60" s="2163"/>
      <c r="Q60" s="2156"/>
      <c r="R60" s="2143"/>
      <c r="S60" s="2143"/>
      <c r="T60" s="2143"/>
      <c r="U60" s="2143"/>
      <c r="V60" s="2143"/>
      <c r="W60" s="2143"/>
      <c r="X60" s="2143"/>
      <c r="Y60" s="2143"/>
      <c r="Z60" s="2143"/>
      <c r="AA60" s="2143"/>
      <c r="AB60" s="2143"/>
      <c r="AC60" s="2143"/>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6"/>
      <c r="B62" s="680"/>
      <c r="C62" s="538"/>
      <c r="D62" s="538"/>
      <c r="E62" s="538"/>
      <c r="F62" s="538"/>
      <c r="G62" s="538"/>
      <c r="H62" s="538"/>
      <c r="I62" s="538"/>
      <c r="J62" s="538"/>
      <c r="K62" s="681"/>
      <c r="L62" s="682"/>
      <c r="M62" s="683"/>
      <c r="N62" s="2162"/>
      <c r="O62" s="2162"/>
      <c r="P62" s="2163"/>
      <c r="Q62" s="2156"/>
      <c r="R62" s="2143"/>
      <c r="S62" s="2143"/>
      <c r="T62" s="2143"/>
      <c r="U62" s="2143"/>
      <c r="V62" s="2143"/>
      <c r="W62" s="2143"/>
      <c r="X62" s="2143"/>
      <c r="Y62" s="2143"/>
      <c r="Z62" s="2143"/>
      <c r="AA62" s="2143"/>
      <c r="AB62" s="2143"/>
      <c r="AC62" s="2143"/>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4"/>
      <c r="B64" s="670">
        <f>B12</f>
        <v>111</v>
      </c>
      <c r="C64" s="685"/>
      <c r="D64" s="685"/>
      <c r="E64" s="685"/>
      <c r="F64" s="685"/>
      <c r="G64" s="685"/>
      <c r="H64" s="686"/>
      <c r="I64" s="686"/>
      <c r="J64" s="686"/>
      <c r="K64" s="686"/>
      <c r="L64" s="687"/>
      <c r="M64" s="688"/>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4"/>
      <c r="B65" s="675"/>
      <c r="C65" s="689"/>
      <c r="D65" s="668"/>
      <c r="E65" s="668"/>
      <c r="F65" s="668"/>
      <c r="G65" s="668"/>
      <c r="H65" s="668"/>
      <c r="I65" s="668"/>
      <c r="J65" s="668"/>
      <c r="K65" s="668"/>
      <c r="L65" s="668"/>
      <c r="M65" s="669"/>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4"/>
      <c r="B66" s="670">
        <f>B13</f>
        <v>111</v>
      </c>
      <c r="C66" s="685"/>
      <c r="D66" s="685"/>
      <c r="E66" s="685"/>
      <c r="F66" s="685"/>
      <c r="G66" s="685"/>
      <c r="H66" s="686"/>
      <c r="I66" s="686"/>
      <c r="J66" s="686"/>
      <c r="K66" s="686"/>
      <c r="L66" s="687"/>
      <c r="M66" s="688"/>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4"/>
      <c r="B67" s="675"/>
      <c r="C67" s="689"/>
      <c r="D67" s="668"/>
      <c r="E67" s="668"/>
      <c r="F67" s="668"/>
      <c r="G67" s="689"/>
      <c r="H67" s="690"/>
      <c r="I67" s="690"/>
      <c r="J67" s="690"/>
      <c r="K67" s="690"/>
      <c r="L67" s="690"/>
      <c r="M67" s="691"/>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4"/>
      <c r="B68" s="678">
        <f>B14</f>
        <v>111</v>
      </c>
      <c r="C68" s="658"/>
      <c r="D68" s="658"/>
      <c r="E68" s="658"/>
      <c r="F68" s="658"/>
      <c r="G68" s="658"/>
      <c r="H68" s="692"/>
      <c r="I68" s="692"/>
      <c r="J68" s="692"/>
      <c r="K68" s="692"/>
      <c r="L68" s="693"/>
      <c r="M68" s="694"/>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5"/>
      <c r="B69" s="696"/>
      <c r="C69" s="697"/>
      <c r="D69" s="697"/>
      <c r="E69" s="697"/>
      <c r="F69" s="697"/>
      <c r="G69" s="697"/>
      <c r="H69" s="698"/>
      <c r="I69" s="698"/>
      <c r="J69" s="698"/>
      <c r="K69" s="698"/>
      <c r="L69" s="698"/>
      <c r="M69" s="699"/>
      <c r="N69" s="2165"/>
      <c r="O69" s="2165"/>
      <c r="P69" s="2166"/>
      <c r="Q69" s="2167"/>
      <c r="R69" s="2168"/>
      <c r="S69" s="2168"/>
      <c r="T69" s="2168"/>
      <c r="U69" s="2168"/>
      <c r="V69" s="2168"/>
      <c r="W69" s="2168"/>
      <c r="X69" s="2168"/>
      <c r="Y69" s="2168"/>
      <c r="Z69" s="2168"/>
      <c r="AA69" s="2168"/>
      <c r="AB69" s="2168"/>
      <c r="AC69" s="2168"/>
    </row>
    <row r="70" spans="1:29">
      <c r="A70" s="661" t="s">
        <v>540</v>
      </c>
      <c r="B70" s="662" t="s">
        <v>586</v>
      </c>
      <c r="C70" s="700" t="s">
        <v>580</v>
      </c>
      <c r="D70" s="700" t="s">
        <v>581</v>
      </c>
      <c r="E70" s="700" t="s">
        <v>582</v>
      </c>
      <c r="F70" s="700" t="s">
        <v>583</v>
      </c>
      <c r="G70" s="700" t="s">
        <v>584</v>
      </c>
      <c r="H70" s="701"/>
      <c r="I70" s="701"/>
      <c r="J70" s="701"/>
      <c r="K70" s="702"/>
      <c r="L70" s="703"/>
      <c r="M70" s="704"/>
      <c r="N70" s="2162"/>
      <c r="O70" s="2162"/>
      <c r="P70" s="2172"/>
      <c r="Q70" s="2156"/>
      <c r="R70" s="2143"/>
      <c r="S70" s="2143"/>
      <c r="T70" s="2143"/>
      <c r="U70" s="2143"/>
      <c r="V70" s="2143"/>
      <c r="W70" s="2143"/>
      <c r="X70" s="2143"/>
      <c r="Y70" s="2143"/>
      <c r="Z70" s="2143"/>
      <c r="AA70" s="2143"/>
      <c r="AB70" s="2143"/>
      <c r="AC70" s="2143"/>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4"/>
      <c r="O71" s="2164"/>
      <c r="P71" s="2163"/>
      <c r="Q71" s="2156"/>
      <c r="R71" s="2143"/>
      <c r="S71" s="2143"/>
      <c r="T71" s="2143"/>
      <c r="U71" s="2143"/>
      <c r="V71" s="2143"/>
      <c r="W71" s="2143"/>
      <c r="X71" s="2143"/>
      <c r="Y71" s="2143"/>
      <c r="Z71" s="2143"/>
      <c r="AA71" s="2143"/>
      <c r="AB71" s="2143"/>
      <c r="AC71" s="2143"/>
    </row>
    <row r="72" spans="1:29" ht="15.75" thickTop="1">
      <c r="A72" s="666"/>
      <c r="B72" s="670" t="s">
        <v>587</v>
      </c>
      <c r="C72" s="705" t="s">
        <v>580</v>
      </c>
      <c r="D72" s="705" t="s">
        <v>581</v>
      </c>
      <c r="E72" s="705" t="s">
        <v>582</v>
      </c>
      <c r="F72" s="705" t="s">
        <v>583</v>
      </c>
      <c r="G72" s="705" t="s">
        <v>584</v>
      </c>
      <c r="H72" s="671"/>
      <c r="I72" s="671"/>
      <c r="J72" s="671"/>
      <c r="K72" s="672"/>
      <c r="L72" s="673"/>
      <c r="M72" s="674"/>
      <c r="N72" s="2162"/>
      <c r="O72" s="2162"/>
      <c r="P72" s="2163"/>
      <c r="Q72" s="2156"/>
      <c r="R72" s="2143"/>
      <c r="S72" s="2143"/>
      <c r="T72" s="2143"/>
      <c r="U72" s="2143"/>
      <c r="V72" s="2143"/>
      <c r="W72" s="2143"/>
      <c r="X72" s="2143"/>
      <c r="Y72" s="2143"/>
      <c r="Z72" s="2143"/>
      <c r="AA72" s="2143"/>
      <c r="AB72" s="2143"/>
      <c r="AC72" s="2143"/>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4"/>
      <c r="O73" s="2164"/>
      <c r="P73" s="2163"/>
      <c r="Q73" s="2156"/>
      <c r="R73" s="2143"/>
      <c r="S73" s="2143"/>
      <c r="T73" s="2143"/>
      <c r="U73" s="2143"/>
      <c r="V73" s="2143"/>
      <c r="W73" s="2143"/>
      <c r="X73" s="2143"/>
      <c r="Y73" s="2143"/>
      <c r="Z73" s="2143"/>
      <c r="AA73" s="2143"/>
      <c r="AB73" s="2143"/>
      <c r="AC73" s="2143"/>
    </row>
    <row r="74" spans="1:29" ht="15.75" thickTop="1">
      <c r="A74" s="666"/>
      <c r="B74" s="1894" t="s">
        <v>2564</v>
      </c>
      <c r="C74" s="705" t="s">
        <v>580</v>
      </c>
      <c r="D74" s="705" t="s">
        <v>581</v>
      </c>
      <c r="E74" s="705" t="s">
        <v>582</v>
      </c>
      <c r="F74" s="705" t="s">
        <v>583</v>
      </c>
      <c r="G74" s="705" t="s">
        <v>584</v>
      </c>
      <c r="H74" s="671"/>
      <c r="I74" s="671"/>
      <c r="J74" s="671"/>
      <c r="K74" s="672"/>
      <c r="L74" s="673"/>
      <c r="M74" s="674"/>
      <c r="N74" s="2162"/>
      <c r="O74" s="2162"/>
      <c r="P74" s="2163"/>
      <c r="Q74" s="2156"/>
      <c r="R74" s="2143"/>
      <c r="S74" s="2143"/>
      <c r="T74" s="2143"/>
      <c r="U74" s="2143"/>
      <c r="V74" s="2143"/>
      <c r="W74" s="2143"/>
      <c r="X74" s="2143"/>
      <c r="Y74" s="2143"/>
      <c r="Z74" s="2143"/>
      <c r="AA74" s="2143"/>
      <c r="AB74" s="2143"/>
      <c r="AC74" s="2143"/>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4"/>
      <c r="O75" s="2164"/>
      <c r="P75" s="2163"/>
      <c r="Q75" s="2156"/>
      <c r="R75" s="2143"/>
      <c r="S75" s="2143"/>
      <c r="T75" s="2143"/>
      <c r="U75" s="2143"/>
      <c r="V75" s="2143"/>
      <c r="W75" s="2143"/>
      <c r="X75" s="2143"/>
      <c r="Y75" s="2143"/>
      <c r="Z75" s="2143"/>
      <c r="AA75" s="2143"/>
      <c r="AB75" s="2143"/>
      <c r="AC75" s="2143"/>
    </row>
    <row r="76" spans="1:29" ht="15.75" thickTop="1">
      <c r="A76" s="666"/>
      <c r="B76" s="2619" t="s">
        <v>2565</v>
      </c>
      <c r="C76" s="2620" t="s">
        <v>2566</v>
      </c>
      <c r="D76" s="2620" t="s">
        <v>2567</v>
      </c>
      <c r="E76" s="2620" t="s">
        <v>2568</v>
      </c>
      <c r="F76" s="2620" t="s">
        <v>2569</v>
      </c>
      <c r="G76" s="2620" t="s">
        <v>2570</v>
      </c>
      <c r="H76" s="931"/>
      <c r="I76" s="931"/>
      <c r="J76" s="931"/>
      <c r="K76" s="931"/>
      <c r="L76" s="931"/>
      <c r="M76" s="556"/>
      <c r="N76" s="2164"/>
      <c r="O76" s="2164"/>
      <c r="P76" s="2163"/>
      <c r="Q76" s="2156"/>
      <c r="R76" s="2143"/>
      <c r="S76" s="2143"/>
      <c r="T76" s="2143"/>
      <c r="U76" s="2143"/>
      <c r="V76" s="2143"/>
      <c r="W76" s="2143"/>
      <c r="X76" s="2143"/>
      <c r="Y76" s="2143"/>
      <c r="Z76" s="2143"/>
      <c r="AA76" s="2143"/>
      <c r="AB76" s="2143"/>
      <c r="AC76" s="2143"/>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4"/>
      <c r="O77" s="2164"/>
      <c r="P77" s="2163"/>
      <c r="Q77" s="2156"/>
      <c r="R77" s="2143"/>
      <c r="S77" s="2143"/>
      <c r="T77" s="2143"/>
      <c r="U77" s="2143"/>
      <c r="V77" s="2143"/>
      <c r="W77" s="2143"/>
      <c r="X77" s="2143"/>
      <c r="Y77" s="2143"/>
      <c r="Z77" s="2143"/>
      <c r="AA77" s="2143"/>
      <c r="AB77" s="2143"/>
      <c r="AC77" s="2143"/>
    </row>
    <row r="78" spans="1:29" ht="15.75" thickTop="1">
      <c r="A78" s="666"/>
      <c r="B78" s="670" t="s">
        <v>785</v>
      </c>
      <c r="C78" s="705" t="s">
        <v>580</v>
      </c>
      <c r="D78" s="705" t="s">
        <v>581</v>
      </c>
      <c r="E78" s="705" t="s">
        <v>582</v>
      </c>
      <c r="F78" s="705" t="s">
        <v>583</v>
      </c>
      <c r="G78" s="705" t="s">
        <v>584</v>
      </c>
      <c r="H78" s="671"/>
      <c r="I78" s="671"/>
      <c r="J78" s="671"/>
      <c r="K78" s="672"/>
      <c r="L78" s="673"/>
      <c r="M78" s="674"/>
      <c r="N78" s="2162"/>
      <c r="O78" s="2162"/>
      <c r="P78" s="2163"/>
      <c r="Q78" s="2156"/>
      <c r="R78" s="2143"/>
      <c r="S78" s="2143"/>
      <c r="T78" s="2143"/>
      <c r="U78" s="2143"/>
      <c r="V78" s="2143"/>
      <c r="W78" s="2143"/>
      <c r="X78" s="2143"/>
      <c r="Y78" s="2143"/>
      <c r="Z78" s="2143"/>
      <c r="AA78" s="2143"/>
      <c r="AB78" s="2143"/>
      <c r="AC78" s="2143"/>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6"/>
      <c r="B80" s="670">
        <f>B25</f>
        <v>111</v>
      </c>
      <c r="C80" s="685"/>
      <c r="D80" s="685"/>
      <c r="E80" s="685"/>
      <c r="F80" s="685"/>
      <c r="G80" s="685"/>
      <c r="H80" s="685"/>
      <c r="I80" s="685"/>
      <c r="J80" s="685"/>
      <c r="K80" s="685"/>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6"/>
      <c r="B81" s="675"/>
      <c r="C81" s="689"/>
      <c r="D81" s="668"/>
      <c r="E81" s="668"/>
      <c r="F81" s="668"/>
      <c r="G81" s="668"/>
      <c r="H81" s="668"/>
      <c r="I81" s="668"/>
      <c r="J81" s="668"/>
      <c r="K81" s="668"/>
      <c r="L81" s="668"/>
      <c r="M81" s="669"/>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6"/>
      <c r="B82" s="670">
        <f>B26</f>
        <v>111</v>
      </c>
      <c r="C82" s="685"/>
      <c r="D82" s="685"/>
      <c r="E82" s="685"/>
      <c r="F82" s="685"/>
      <c r="G82" s="685"/>
      <c r="H82" s="685"/>
      <c r="I82" s="685"/>
      <c r="J82" s="685"/>
      <c r="K82" s="685"/>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6"/>
      <c r="B83" s="675"/>
      <c r="C83" s="689"/>
      <c r="D83" s="668"/>
      <c r="E83" s="668"/>
      <c r="F83" s="668"/>
      <c r="G83" s="668"/>
      <c r="H83" s="668"/>
      <c r="I83" s="668"/>
      <c r="J83" s="668"/>
      <c r="K83" s="668"/>
      <c r="L83" s="668"/>
      <c r="M83" s="669"/>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4"/>
      <c r="B84" s="670">
        <f>B27</f>
        <v>111</v>
      </c>
      <c r="C84" s="685"/>
      <c r="D84" s="685"/>
      <c r="E84" s="685"/>
      <c r="F84" s="685"/>
      <c r="G84" s="685"/>
      <c r="H84" s="685"/>
      <c r="I84" s="685"/>
      <c r="J84" s="685"/>
      <c r="K84" s="685"/>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4"/>
      <c r="B85" s="675"/>
      <c r="C85" s="689"/>
      <c r="D85" s="668"/>
      <c r="E85" s="668"/>
      <c r="F85" s="668"/>
      <c r="G85" s="668"/>
      <c r="H85" s="668"/>
      <c r="I85" s="668"/>
      <c r="J85" s="668"/>
      <c r="K85" s="668"/>
      <c r="L85" s="668"/>
      <c r="M85" s="669"/>
      <c r="N85" s="2165"/>
      <c r="O85" s="2165"/>
      <c r="P85" s="2166"/>
      <c r="Q85" s="2167"/>
      <c r="R85" s="2168"/>
      <c r="S85" s="2168"/>
      <c r="T85" s="2168"/>
      <c r="U85" s="2168"/>
      <c r="V85" s="2168"/>
      <c r="W85" s="2168"/>
      <c r="X85" s="2168"/>
      <c r="Y85" s="2168"/>
      <c r="Z85" s="2168"/>
      <c r="AA85" s="2168"/>
      <c r="AB85" s="2168"/>
      <c r="AC85" s="2168"/>
    </row>
    <row r="86" spans="1:29" ht="15.75" thickTop="1">
      <c r="A86" s="666"/>
      <c r="B86" s="678">
        <f>B28</f>
        <v>111</v>
      </c>
      <c r="C86" s="658"/>
      <c r="D86" s="658"/>
      <c r="E86" s="658"/>
      <c r="F86" s="658"/>
      <c r="G86" s="719"/>
      <c r="H86" s="719"/>
      <c r="I86" s="719"/>
      <c r="J86" s="719"/>
      <c r="K86" s="720"/>
      <c r="L86" s="721"/>
      <c r="M86" s="722"/>
      <c r="N86" s="2162"/>
      <c r="O86" s="2162"/>
      <c r="P86" s="2163"/>
      <c r="Q86" s="2156"/>
      <c r="R86" s="2143"/>
      <c r="S86" s="2143"/>
      <c r="T86" s="2143"/>
      <c r="U86" s="2143"/>
      <c r="V86" s="2143"/>
      <c r="W86" s="2143"/>
      <c r="X86" s="2143"/>
      <c r="Y86" s="2143"/>
      <c r="Z86" s="2143"/>
      <c r="AA86" s="2143"/>
      <c r="AB86" s="2143"/>
      <c r="AC86" s="2143"/>
    </row>
    <row r="87" spans="1:29" ht="15.75" thickBot="1">
      <c r="A87" s="889"/>
      <c r="B87" s="696"/>
      <c r="C87" s="697"/>
      <c r="D87" s="697"/>
      <c r="E87" s="697"/>
      <c r="F87" s="697"/>
      <c r="G87" s="723"/>
      <c r="H87" s="723"/>
      <c r="I87" s="723"/>
      <c r="J87" s="723"/>
      <c r="K87" s="723"/>
      <c r="L87" s="723"/>
      <c r="M87" s="724"/>
      <c r="N87" s="2164"/>
      <c r="O87" s="2164"/>
      <c r="P87" s="2163"/>
      <c r="Q87" s="2156"/>
      <c r="R87" s="2143"/>
      <c r="S87" s="2143"/>
      <c r="T87" s="2143"/>
      <c r="U87" s="2143"/>
      <c r="V87" s="2143"/>
      <c r="W87" s="2143"/>
      <c r="X87" s="2143"/>
      <c r="Y87" s="2143"/>
      <c r="Z87" s="2143"/>
      <c r="AA87" s="2143"/>
      <c r="AB87" s="2143"/>
      <c r="AC87" s="2143"/>
    </row>
    <row r="88" spans="1:29">
      <c r="A88" s="661" t="s">
        <v>552</v>
      </c>
      <c r="B88" s="662" t="s">
        <v>748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5"/>
      <c r="B91" s="726"/>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4"/>
      <c r="O92" s="2164"/>
      <c r="P92" s="2166"/>
      <c r="Q92" s="2167"/>
      <c r="R92" s="2168"/>
      <c r="S92" s="2168"/>
      <c r="T92" s="2168"/>
      <c r="U92" s="2168"/>
      <c r="V92" s="2168"/>
      <c r="W92" s="2168"/>
      <c r="X92" s="2168"/>
      <c r="Y92" s="2168"/>
      <c r="Z92" s="2168"/>
      <c r="AA92" s="2168"/>
      <c r="AB92" s="2168"/>
      <c r="AC92" s="2168"/>
    </row>
    <row r="93" spans="1:29" ht="15" thickTop="1">
      <c r="A93" s="732"/>
      <c r="B93" s="670" t="s">
        <v>750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752</v>
      </c>
      <c r="C95" s="685"/>
      <c r="D95" s="685"/>
      <c r="E95" s="685"/>
      <c r="F95" s="715"/>
      <c r="G95" s="715"/>
      <c r="H95" s="715"/>
      <c r="I95" s="715"/>
      <c r="J95" s="715"/>
      <c r="K95" s="716"/>
      <c r="L95" s="717"/>
      <c r="M95" s="718"/>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2"/>
      <c r="O97" s="2162"/>
      <c r="P97" s="2163"/>
      <c r="Q97" s="2156"/>
      <c r="R97" s="2143"/>
      <c r="S97" s="2143"/>
      <c r="T97" s="2143"/>
      <c r="U97" s="2143"/>
      <c r="V97" s="2143"/>
      <c r="W97" s="2143"/>
      <c r="X97" s="2143"/>
      <c r="Y97" s="2143"/>
      <c r="Z97" s="2143"/>
      <c r="AA97" s="2143"/>
      <c r="AB97" s="2143"/>
      <c r="AC97" s="2143"/>
    </row>
    <row r="98" spans="1:29">
      <c r="A98" s="732"/>
      <c r="B98" s="678"/>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5"/>
      <c r="B100" s="670" t="s">
        <v>754</v>
      </c>
      <c r="C100" s="685"/>
      <c r="D100" s="685"/>
      <c r="E100" s="685"/>
      <c r="F100" s="685"/>
      <c r="G100" s="685"/>
      <c r="H100" s="715"/>
      <c r="I100" s="715"/>
      <c r="J100" s="715"/>
      <c r="K100" s="716"/>
      <c r="L100" s="717"/>
      <c r="M100" s="718"/>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2"/>
      <c r="B102" s="1894" t="s">
        <v>2563</v>
      </c>
      <c r="C102" s="685"/>
      <c r="D102" s="685"/>
      <c r="E102" s="685"/>
      <c r="F102" s="685"/>
      <c r="G102" s="685"/>
      <c r="H102" s="715"/>
      <c r="I102" s="715"/>
      <c r="J102" s="715"/>
      <c r="K102" s="716"/>
      <c r="L102" s="717"/>
      <c r="M102" s="718"/>
      <c r="N102" s="2162"/>
      <c r="O102" s="2162"/>
      <c r="P102" s="2163"/>
      <c r="Q102" s="2156"/>
      <c r="R102" s="2143"/>
      <c r="S102" s="2143"/>
      <c r="T102" s="2143"/>
      <c r="U102" s="2143"/>
      <c r="V102" s="2143"/>
      <c r="W102" s="2143"/>
      <c r="X102" s="2143"/>
      <c r="Y102" s="2143"/>
      <c r="Z102" s="2143"/>
      <c r="AA102" s="2143"/>
      <c r="AB102" s="2143"/>
      <c r="AC102" s="2143"/>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2"/>
      <c r="B104" s="670" t="s">
        <v>756</v>
      </c>
      <c r="C104" s="685"/>
      <c r="D104" s="685"/>
      <c r="E104" s="685"/>
      <c r="F104" s="685"/>
      <c r="G104" s="685"/>
      <c r="H104" s="715"/>
      <c r="I104" s="715"/>
      <c r="J104" s="715"/>
      <c r="K104" s="716"/>
      <c r="L104" s="717"/>
      <c r="M104" s="718"/>
      <c r="N104" s="2162"/>
      <c r="O104" s="2162"/>
      <c r="P104" s="2163"/>
      <c r="Q104" s="2156"/>
      <c r="R104" s="2143"/>
      <c r="S104" s="2143"/>
      <c r="T104" s="2143"/>
      <c r="U104" s="2143"/>
      <c r="V104" s="2143"/>
      <c r="W104" s="2143"/>
      <c r="X104" s="2143"/>
      <c r="Y104" s="2143"/>
      <c r="Z104" s="2143"/>
      <c r="AA104" s="2143"/>
      <c r="AB104" s="2143"/>
      <c r="AC104" s="2143"/>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4"/>
      <c r="O105" s="2164"/>
      <c r="P105" s="2163"/>
      <c r="Q105" s="2156"/>
      <c r="R105" s="2143"/>
      <c r="S105" s="2143"/>
      <c r="T105" s="2143"/>
      <c r="U105" s="2143"/>
      <c r="V105" s="2143"/>
      <c r="W105" s="2143"/>
      <c r="X105" s="2143"/>
      <c r="Y105" s="2143"/>
      <c r="Z105" s="2143"/>
      <c r="AA105" s="2143"/>
      <c r="AB105" s="2143"/>
      <c r="AC105" s="2143"/>
    </row>
    <row r="106" spans="1:29" ht="27.75" thickTop="1">
      <c r="A106" s="732"/>
      <c r="B106" s="913" t="s">
        <v>792</v>
      </c>
      <c r="C106" s="705" t="s">
        <v>580</v>
      </c>
      <c r="D106" s="705" t="s">
        <v>581</v>
      </c>
      <c r="E106" s="705" t="s">
        <v>582</v>
      </c>
      <c r="F106" s="705" t="s">
        <v>583</v>
      </c>
      <c r="G106" s="705" t="s">
        <v>584</v>
      </c>
      <c r="H106" s="671"/>
      <c r="I106" s="671"/>
      <c r="J106" s="671"/>
      <c r="K106" s="672"/>
      <c r="L106" s="673"/>
      <c r="M106" s="674"/>
      <c r="N106" s="2164"/>
      <c r="O106" s="2164"/>
      <c r="P106" s="2203"/>
      <c r="Q106" s="2204"/>
      <c r="R106" s="2143"/>
      <c r="S106" s="2143"/>
      <c r="T106" s="2143"/>
      <c r="U106" s="2143"/>
      <c r="V106" s="2143"/>
      <c r="W106" s="2143"/>
      <c r="X106" s="2143"/>
      <c r="Y106" s="2143"/>
      <c r="Z106" s="2143"/>
      <c r="AA106" s="2143"/>
      <c r="AB106" s="2143"/>
      <c r="AC106" s="2143"/>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5"/>
      <c r="B108" s="670">
        <f>B38</f>
        <v>111</v>
      </c>
      <c r="C108" s="685"/>
      <c r="D108" s="685"/>
      <c r="E108" s="685"/>
      <c r="F108" s="685"/>
      <c r="G108" s="685"/>
      <c r="H108" s="686"/>
      <c r="I108" s="686"/>
      <c r="J108" s="686"/>
      <c r="K108" s="686"/>
      <c r="L108" s="687"/>
      <c r="M108" s="688"/>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4"/>
      <c r="B109" s="667"/>
      <c r="C109" s="689"/>
      <c r="D109" s="668"/>
      <c r="E109" s="668"/>
      <c r="F109" s="668"/>
      <c r="G109" s="689"/>
      <c r="H109" s="690"/>
      <c r="I109" s="690"/>
      <c r="J109" s="690"/>
      <c r="K109" s="690"/>
      <c r="L109" s="690"/>
      <c r="M109" s="691"/>
      <c r="N109" s="2165"/>
      <c r="O109" s="2165"/>
      <c r="P109" s="2166"/>
      <c r="Q109" s="2167"/>
      <c r="R109" s="2168"/>
      <c r="S109" s="2168"/>
      <c r="T109" s="2168"/>
      <c r="U109" s="2168"/>
      <c r="V109" s="2168"/>
      <c r="W109" s="2168"/>
      <c r="X109" s="2168"/>
      <c r="Y109" s="2168"/>
      <c r="Z109" s="2168"/>
      <c r="AA109" s="2168"/>
      <c r="AB109" s="2168"/>
      <c r="AC109" s="2168"/>
    </row>
    <row r="110" spans="1:29" ht="15" thickTop="1">
      <c r="A110" s="732"/>
      <c r="B110" s="670">
        <f>B39</f>
        <v>111</v>
      </c>
      <c r="C110" s="685"/>
      <c r="D110" s="685"/>
      <c r="E110" s="685"/>
      <c r="F110" s="685"/>
      <c r="G110" s="685"/>
      <c r="H110" s="686"/>
      <c r="I110" s="686"/>
      <c r="J110" s="686"/>
      <c r="K110" s="686"/>
      <c r="L110" s="687"/>
      <c r="M110" s="688"/>
      <c r="N110" s="2162"/>
      <c r="O110" s="2162"/>
      <c r="P110" s="2163"/>
      <c r="Q110" s="2156"/>
      <c r="R110" s="2143"/>
      <c r="S110" s="2143"/>
      <c r="T110" s="2143"/>
      <c r="U110" s="2143"/>
      <c r="V110" s="2143"/>
      <c r="W110" s="2143"/>
      <c r="X110" s="2143"/>
      <c r="Y110" s="2143"/>
      <c r="Z110" s="2143"/>
      <c r="AA110" s="2143"/>
      <c r="AB110" s="2143"/>
      <c r="AC110" s="2143"/>
    </row>
    <row r="111" spans="1:29" ht="15.75" thickBot="1">
      <c r="A111" s="666"/>
      <c r="B111" s="675"/>
      <c r="C111" s="689"/>
      <c r="D111" s="668"/>
      <c r="E111" s="668"/>
      <c r="F111" s="668"/>
      <c r="G111" s="689"/>
      <c r="H111" s="690"/>
      <c r="I111" s="690"/>
      <c r="J111" s="690"/>
      <c r="K111" s="690"/>
      <c r="L111" s="690"/>
      <c r="M111" s="691"/>
      <c r="N111" s="2164"/>
      <c r="O111" s="2164"/>
      <c r="P111" s="2163"/>
      <c r="Q111" s="2156"/>
      <c r="R111" s="2143"/>
      <c r="S111" s="2143"/>
      <c r="T111" s="2143"/>
      <c r="U111" s="2143"/>
      <c r="V111" s="2143"/>
      <c r="W111" s="2143"/>
      <c r="X111" s="2143"/>
      <c r="Y111" s="2143"/>
      <c r="Z111" s="2143"/>
      <c r="AA111" s="2143"/>
      <c r="AB111" s="2143"/>
      <c r="AC111" s="2143"/>
    </row>
    <row r="112" spans="1:29" ht="15" thickTop="1">
      <c r="A112" s="732"/>
      <c r="B112" s="678">
        <f>B40</f>
        <v>111</v>
      </c>
      <c r="C112" s="658"/>
      <c r="D112" s="658"/>
      <c r="E112" s="658"/>
      <c r="F112" s="658"/>
      <c r="G112" s="719"/>
      <c r="H112" s="719"/>
      <c r="I112" s="719"/>
      <c r="J112" s="719"/>
      <c r="K112" s="658"/>
      <c r="L112" s="659"/>
      <c r="M112" s="722"/>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6"/>
      <c r="C113" s="697"/>
      <c r="D113" s="697"/>
      <c r="E113" s="697"/>
      <c r="F113" s="697"/>
      <c r="G113" s="723"/>
      <c r="H113" s="723"/>
      <c r="I113" s="723"/>
      <c r="J113" s="723"/>
      <c r="K113" s="723"/>
      <c r="L113" s="723"/>
      <c r="M113" s="724"/>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IF(B37="元/平方米",C39,ROUND(B2*10000/D3,0))</f>
        <v>#DIV/0!</v>
      </c>
      <c r="C3" s="849" t="s">
        <v>797</v>
      </c>
      <c r="D3" s="848">
        <f>SUMIF('数据-汇总表'!$C19:$C33,D1,'数据-汇总表'!$E19:$E33)</f>
        <v>0</v>
      </c>
      <c r="E3" s="1846" t="s">
        <v>2080</v>
      </c>
      <c r="F3" s="848">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90" t="s">
        <v>799</v>
      </c>
      <c r="D4" s="3391"/>
      <c r="E4" s="3390" t="s">
        <v>800</v>
      </c>
      <c r="F4" s="3391"/>
      <c r="G4" s="3390" t="s">
        <v>801</v>
      </c>
      <c r="H4" s="3391"/>
      <c r="I4" s="3390" t="s">
        <v>802</v>
      </c>
      <c r="J4" s="3391"/>
      <c r="K4" s="511" t="s">
        <v>803</v>
      </c>
      <c r="L4" s="2131"/>
      <c r="M4" s="2132"/>
      <c r="N4" s="2132"/>
      <c r="O4" s="2132"/>
      <c r="P4" s="3392" t="s">
        <v>804</v>
      </c>
      <c r="Q4" s="3393"/>
      <c r="R4" s="3378" t="s">
        <v>800</v>
      </c>
      <c r="S4" s="3379"/>
      <c r="T4" s="3378" t="s">
        <v>801</v>
      </c>
      <c r="U4" s="3379"/>
      <c r="V4" s="3398" t="s">
        <v>802</v>
      </c>
      <c r="W4" s="3398"/>
      <c r="X4" s="1564"/>
      <c r="Y4" s="3378" t="s">
        <v>804</v>
      </c>
      <c r="Z4" s="3379"/>
      <c r="AA4" s="3373" t="s">
        <v>800</v>
      </c>
      <c r="AB4" s="3374" t="s">
        <v>801</v>
      </c>
      <c r="AC4" s="3373" t="s">
        <v>802</v>
      </c>
    </row>
    <row r="5" spans="1:29" ht="15">
      <c r="A5" s="512"/>
      <c r="B5" s="513"/>
      <c r="C5" s="3401" t="s">
        <v>2940</v>
      </c>
      <c r="D5" s="3402"/>
      <c r="E5" s="3401" t="s">
        <v>2941</v>
      </c>
      <c r="F5" s="3402"/>
      <c r="G5" s="3401" t="s">
        <v>2942</v>
      </c>
      <c r="H5" s="3402"/>
      <c r="I5" s="3401" t="s">
        <v>2943</v>
      </c>
      <c r="J5" s="3402"/>
      <c r="K5" s="511"/>
      <c r="L5" s="2131"/>
      <c r="M5" s="2132"/>
      <c r="N5" s="2132"/>
      <c r="O5" s="2132"/>
      <c r="P5" s="3394"/>
      <c r="Q5" s="3395"/>
      <c r="R5" s="3380"/>
      <c r="S5" s="3381"/>
      <c r="T5" s="3380"/>
      <c r="U5" s="3381"/>
      <c r="V5" s="3398"/>
      <c r="W5" s="3398"/>
      <c r="X5" s="1564"/>
      <c r="Y5" s="3380"/>
      <c r="Z5" s="3381"/>
      <c r="AA5" s="3374"/>
      <c r="AB5" s="3374"/>
      <c r="AC5" s="3374"/>
    </row>
    <row r="6" spans="1:29" ht="15.75" thickBot="1">
      <c r="A6" s="514"/>
      <c r="B6" s="515"/>
      <c r="C6" s="3419" t="s">
        <v>2944</v>
      </c>
      <c r="D6" s="3400"/>
      <c r="E6" s="3403" t="s">
        <v>2944</v>
      </c>
      <c r="F6" s="3404"/>
      <c r="G6" s="3419" t="s">
        <v>2944</v>
      </c>
      <c r="H6" s="3400"/>
      <c r="I6" s="3419" t="s">
        <v>2944</v>
      </c>
      <c r="J6" s="3400"/>
      <c r="K6" s="511" t="s">
        <v>529</v>
      </c>
      <c r="L6" s="2131"/>
      <c r="M6" s="2132"/>
      <c r="N6" s="2132"/>
      <c r="O6" s="2132"/>
      <c r="P6" s="3396"/>
      <c r="Q6" s="3397"/>
      <c r="R6" s="3380"/>
      <c r="S6" s="3381"/>
      <c r="T6" s="3382"/>
      <c r="U6" s="3383"/>
      <c r="V6" s="3398"/>
      <c r="W6" s="3398"/>
      <c r="X6" s="1564"/>
      <c r="Y6" s="3382"/>
      <c r="Z6" s="3383"/>
      <c r="AA6" s="3375"/>
      <c r="AB6" s="3375"/>
      <c r="AC6" s="3375"/>
    </row>
    <row r="7" spans="1:29" s="1216" customFormat="1" ht="15.75" thickBot="1">
      <c r="A7" s="2935"/>
      <c r="B7" s="2942" t="s">
        <v>530</v>
      </c>
      <c r="C7" s="516">
        <f>'数据-取费表'!B2</f>
        <v>43123</v>
      </c>
      <c r="D7" s="517">
        <v>100</v>
      </c>
      <c r="E7" s="518"/>
      <c r="F7" s="519">
        <f>SUMIF(48:48,YEAR(E7)&amp;"-"&amp;MONTH(E7),49:49)</f>
        <v>0</v>
      </c>
      <c r="G7" s="520"/>
      <c r="H7" s="517">
        <f>SUMIF(48:48,YEAR(G7)&amp;"-"&amp;MONTH(G7),49:49)</f>
        <v>0</v>
      </c>
      <c r="I7" s="520"/>
      <c r="J7" s="517">
        <f>SUMIF(48:48,YEAR(I7)&amp;"-"&amp;MONTH(I7),49:49)</f>
        <v>0</v>
      </c>
      <c r="K7" s="521"/>
      <c r="L7" s="2133"/>
      <c r="M7" s="2134"/>
      <c r="N7" s="2134"/>
      <c r="O7" s="2134"/>
      <c r="P7" s="3376" t="s">
        <v>531</v>
      </c>
      <c r="Q7" s="3385"/>
      <c r="R7" s="1565" t="s">
        <v>8</v>
      </c>
      <c r="S7" s="1566">
        <f t="shared" ref="S7:S14" si="0">F7</f>
        <v>0</v>
      </c>
      <c r="T7" s="1565" t="s">
        <v>8</v>
      </c>
      <c r="U7" s="1566">
        <f t="shared" ref="U7:U14" si="1">H7</f>
        <v>0</v>
      </c>
      <c r="V7" s="1565" t="s">
        <v>8</v>
      </c>
      <c r="W7" s="1566">
        <f t="shared" ref="W7:W14" si="2">J7</f>
        <v>0</v>
      </c>
      <c r="X7" s="1567"/>
      <c r="Y7" s="3376" t="s">
        <v>531</v>
      </c>
      <c r="Z7" s="3377"/>
      <c r="AA7" s="1568" t="e">
        <f>D7/F7</f>
        <v>#DIV/0!</v>
      </c>
      <c r="AB7" s="1568" t="e">
        <f>D7/H7</f>
        <v>#DIV/0!</v>
      </c>
      <c r="AC7" s="1568" t="e">
        <f>D7/J7</f>
        <v>#DIV/0!</v>
      </c>
    </row>
    <row r="8" spans="1:29" s="1216" customFormat="1" ht="15.75" thickBot="1">
      <c r="A8" s="2936"/>
      <c r="B8" s="2943" t="s">
        <v>532</v>
      </c>
      <c r="C8" s="522" t="s">
        <v>577</v>
      </c>
      <c r="D8" s="517">
        <v>100</v>
      </c>
      <c r="E8" s="522"/>
      <c r="F8" s="519">
        <f>SUMIF(51:51,E8,52:52)-SUMIF(51:51,C8,52:52)+100</f>
        <v>0</v>
      </c>
      <c r="G8" s="522"/>
      <c r="H8" s="517">
        <f>SUMIF(51:51,G8,52:52)-SUMIF(51:51,C8,52:52)+100</f>
        <v>0</v>
      </c>
      <c r="I8" s="522"/>
      <c r="J8" s="517">
        <f>SUMIF(51:51,I8,52:52)-SUMIF(51:51,C8,52:52)+100</f>
        <v>0</v>
      </c>
      <c r="K8" s="521"/>
      <c r="L8" s="2133"/>
      <c r="M8" s="2134"/>
      <c r="N8" s="2134"/>
      <c r="O8" s="2134"/>
      <c r="P8" s="3376" t="s">
        <v>534</v>
      </c>
      <c r="Q8" s="3377"/>
      <c r="R8" s="1565" t="s">
        <v>8</v>
      </c>
      <c r="S8" s="1566">
        <f t="shared" si="0"/>
        <v>0</v>
      </c>
      <c r="T8" s="1565" t="s">
        <v>8</v>
      </c>
      <c r="U8" s="1566">
        <f t="shared" si="1"/>
        <v>0</v>
      </c>
      <c r="V8" s="1565" t="s">
        <v>8</v>
      </c>
      <c r="W8" s="1566">
        <f t="shared" si="2"/>
        <v>0</v>
      </c>
      <c r="X8" s="1567"/>
      <c r="Y8" s="3376" t="s">
        <v>534</v>
      </c>
      <c r="Z8" s="3377"/>
      <c r="AA8" s="1568" t="e">
        <f t="shared" ref="AA8:AA36" si="3">D8/F8</f>
        <v>#DIV/0!</v>
      </c>
      <c r="AB8" s="1568" t="e">
        <f t="shared" ref="AB8:AB36" si="4">D8/H8</f>
        <v>#DIV/0!</v>
      </c>
      <c r="AC8" s="1568" t="e">
        <f t="shared" ref="AC8:AC36" si="5">D8/J8</f>
        <v>#DIV/0!</v>
      </c>
    </row>
    <row r="9" spans="1:29" s="1216" customFormat="1" ht="15">
      <c r="A9" s="2937"/>
      <c r="B9" s="2944" t="s">
        <v>2765</v>
      </c>
      <c r="C9" s="854"/>
      <c r="D9" s="253">
        <v>100</v>
      </c>
      <c r="E9" s="857"/>
      <c r="F9" s="253">
        <f>SUMIF(53:53,E9,54:54)-SUMIF(53:53,C9,54:54)+100</f>
        <v>100</v>
      </c>
      <c r="G9" s="855"/>
      <c r="H9" s="253">
        <f>SUMIF(53:53,G9,54:54)-SUMIF(53:53,C9,54:54)+100</f>
        <v>100</v>
      </c>
      <c r="I9" s="855"/>
      <c r="J9" s="253">
        <f>SUMIF(53:53,I9,54:54)-SUMIF(53:53,C9,54:54)+100</f>
        <v>100</v>
      </c>
      <c r="K9" s="521"/>
      <c r="L9" s="2133"/>
      <c r="M9" s="2134"/>
      <c r="N9" s="2134"/>
      <c r="O9" s="2135"/>
      <c r="P9" s="3384" t="s">
        <v>536</v>
      </c>
      <c r="Q9" s="1147" t="str">
        <f t="shared" ref="Q9:Q14" si="6">B9</f>
        <v>用途</v>
      </c>
      <c r="R9" s="1565" t="s">
        <v>8</v>
      </c>
      <c r="S9" s="1566">
        <f t="shared" si="0"/>
        <v>100</v>
      </c>
      <c r="T9" s="1565" t="s">
        <v>8</v>
      </c>
      <c r="U9" s="1566">
        <f t="shared" si="1"/>
        <v>100</v>
      </c>
      <c r="V9" s="1565" t="s">
        <v>8</v>
      </c>
      <c r="W9" s="1566">
        <f t="shared" si="2"/>
        <v>100</v>
      </c>
      <c r="X9" s="1567"/>
      <c r="Y9" s="3341"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SUMIF(55:55,E10,56:56)-SUMIF(55:55,C10,56:56)+100</f>
        <v>100</v>
      </c>
      <c r="G10" s="859"/>
      <c r="H10" s="254">
        <f>SUMIF(55:55,G10,56:56)-SUMIF(55:55,C10,56:56)+100</f>
        <v>100</v>
      </c>
      <c r="I10" s="858"/>
      <c r="J10" s="254">
        <f>SUMIF(55:55,I10,56:56)-SUMIF(55:55,C10,56:56)+100</f>
        <v>100</v>
      </c>
      <c r="K10" s="581"/>
      <c r="L10" s="2136"/>
      <c r="M10" s="2176"/>
      <c r="N10" s="2176"/>
      <c r="O10" s="2137"/>
      <c r="P10" s="3384"/>
      <c r="Q10" s="1147" t="str">
        <f t="shared" si="6"/>
        <v>土地使用年限（年）</v>
      </c>
      <c r="R10" s="1565" t="s">
        <v>8</v>
      </c>
      <c r="S10" s="1566">
        <f t="shared" si="0"/>
        <v>100</v>
      </c>
      <c r="T10" s="1565" t="s">
        <v>8</v>
      </c>
      <c r="U10" s="1566">
        <f t="shared" si="1"/>
        <v>100</v>
      </c>
      <c r="V10" s="1565" t="s">
        <v>8</v>
      </c>
      <c r="W10" s="1566">
        <f t="shared" si="2"/>
        <v>100</v>
      </c>
      <c r="X10" s="1567"/>
      <c r="Y10" s="3341"/>
      <c r="Z10" s="1146" t="str">
        <f t="shared" si="7"/>
        <v>土地使用年限（年）</v>
      </c>
      <c r="AA10" s="1568">
        <f t="shared" si="3"/>
        <v>1</v>
      </c>
      <c r="AB10" s="1568">
        <f t="shared" si="4"/>
        <v>1</v>
      </c>
      <c r="AC10" s="1568">
        <f t="shared" si="5"/>
        <v>1</v>
      </c>
    </row>
    <row r="11" spans="1:29" ht="15">
      <c r="A11" s="2940"/>
      <c r="B11" s="2946">
        <v>111</v>
      </c>
      <c r="C11" s="525"/>
      <c r="D11" s="254">
        <v>100</v>
      </c>
      <c r="E11" s="525"/>
      <c r="F11" s="254">
        <f>SUMIF(57:57,E11,58:58)-SUMIF(57:57,C11,58:58)+100</f>
        <v>100</v>
      </c>
      <c r="G11" s="525"/>
      <c r="H11" s="254">
        <f>SUMIF(57:57,G11,58:58)-SUMIF(57:57,C11,58:58)+100</f>
        <v>100</v>
      </c>
      <c r="I11" s="525"/>
      <c r="J11" s="254">
        <f>SUMIF(57:57,I11,58:58)-SUMIF(57:57,C11,58:58)+100</f>
        <v>100</v>
      </c>
      <c r="K11" s="578"/>
      <c r="L11" s="2138"/>
      <c r="M11" s="2132"/>
      <c r="N11" s="2132"/>
      <c r="O11" s="2139"/>
      <c r="P11" s="3384"/>
      <c r="Q11" s="1147">
        <f t="shared" si="6"/>
        <v>111</v>
      </c>
      <c r="R11" s="1565" t="s">
        <v>8</v>
      </c>
      <c r="S11" s="1566">
        <f t="shared" si="0"/>
        <v>100</v>
      </c>
      <c r="T11" s="1565" t="s">
        <v>8</v>
      </c>
      <c r="U11" s="1566">
        <f t="shared" si="1"/>
        <v>100</v>
      </c>
      <c r="V11" s="1565" t="s">
        <v>8</v>
      </c>
      <c r="W11" s="1566">
        <f t="shared" si="2"/>
        <v>100</v>
      </c>
      <c r="X11" s="1567"/>
      <c r="Y11" s="3341"/>
      <c r="Z11" s="1146">
        <f t="shared" si="7"/>
        <v>111</v>
      </c>
      <c r="AA11" s="1568">
        <f t="shared" si="3"/>
        <v>1</v>
      </c>
      <c r="AB11" s="1568">
        <f t="shared" si="4"/>
        <v>1</v>
      </c>
      <c r="AC11" s="1568">
        <f t="shared" si="5"/>
        <v>1</v>
      </c>
    </row>
    <row r="12" spans="1:29" s="1216" customFormat="1" ht="15">
      <c r="A12" s="2940"/>
      <c r="B12" s="2946">
        <v>111</v>
      </c>
      <c r="C12" s="525"/>
      <c r="D12" s="535">
        <v>100</v>
      </c>
      <c r="E12" s="525"/>
      <c r="F12" s="254">
        <f>SUMIF(59:59,E12,60:60)-SUMIF(59:59,C12,60:60)+100</f>
        <v>100</v>
      </c>
      <c r="G12" s="525"/>
      <c r="H12" s="254">
        <f>SUMIF(59:59,G12,60:60)-SUMIF(59:59,C12,60:60)+100</f>
        <v>100</v>
      </c>
      <c r="I12" s="525"/>
      <c r="J12" s="254">
        <f>SUMIF(59:59,I12,60:60)-SUMIF(59:59,C12,60:60)+100</f>
        <v>100</v>
      </c>
      <c r="K12" s="578"/>
      <c r="L12" s="2133"/>
      <c r="M12" s="2134"/>
      <c r="N12" s="2134"/>
      <c r="O12" s="2135"/>
      <c r="P12" s="3384"/>
      <c r="Q12" s="1147">
        <f t="shared" si="6"/>
        <v>111</v>
      </c>
      <c r="R12" s="1565" t="s">
        <v>8</v>
      </c>
      <c r="S12" s="1566">
        <f t="shared" si="0"/>
        <v>100</v>
      </c>
      <c r="T12" s="1565" t="s">
        <v>8</v>
      </c>
      <c r="U12" s="1566">
        <f t="shared" si="1"/>
        <v>100</v>
      </c>
      <c r="V12" s="1565" t="s">
        <v>8</v>
      </c>
      <c r="W12" s="1566">
        <f t="shared" si="2"/>
        <v>100</v>
      </c>
      <c r="X12" s="1567"/>
      <c r="Y12" s="3341"/>
      <c r="Z12" s="1146">
        <f t="shared" si="7"/>
        <v>111</v>
      </c>
      <c r="AA12" s="1568">
        <f>D12/F12</f>
        <v>1</v>
      </c>
      <c r="AB12" s="1568">
        <f>D12/H12</f>
        <v>1</v>
      </c>
      <c r="AC12" s="1568">
        <f>D12/J12</f>
        <v>1</v>
      </c>
    </row>
    <row r="13" spans="1:29" ht="15.75" thickBot="1">
      <c r="A13" s="2941"/>
      <c r="B13" s="2947">
        <v>111</v>
      </c>
      <c r="C13" s="536"/>
      <c r="D13" s="537">
        <v>100</v>
      </c>
      <c r="E13" s="525"/>
      <c r="F13" s="254">
        <f>SUMIF(61:61,E13,62:62)-SUMIF(61:61,C13,62:62)+100</f>
        <v>100</v>
      </c>
      <c r="G13" s="525"/>
      <c r="H13" s="537">
        <f>SUMIF(61:61,G13,62:62)-SUMIF(61:61,C13,62:62)+100</f>
        <v>100</v>
      </c>
      <c r="I13" s="525"/>
      <c r="J13" s="537">
        <f>SUMIF(61:61,I13,62:62)-SUMIF(61:61,C13,62:62)+100</f>
        <v>100</v>
      </c>
      <c r="K13" s="578"/>
      <c r="L13" s="2140"/>
      <c r="M13" s="2132"/>
      <c r="N13" s="2132"/>
      <c r="O13" s="2139"/>
      <c r="P13" s="3384"/>
      <c r="Q13" s="1147">
        <f t="shared" si="6"/>
        <v>111</v>
      </c>
      <c r="R13" s="1565" t="s">
        <v>8</v>
      </c>
      <c r="S13" s="1566">
        <f t="shared" si="0"/>
        <v>100</v>
      </c>
      <c r="T13" s="1565" t="s">
        <v>8</v>
      </c>
      <c r="U13" s="1566">
        <f t="shared" si="1"/>
        <v>100</v>
      </c>
      <c r="V13" s="1565" t="s">
        <v>8</v>
      </c>
      <c r="W13" s="1566">
        <f t="shared" si="2"/>
        <v>100</v>
      </c>
      <c r="X13" s="1567"/>
      <c r="Y13" s="3341"/>
      <c r="Z13" s="1146">
        <f t="shared" si="7"/>
        <v>111</v>
      </c>
      <c r="AA13" s="1568">
        <f t="shared" si="3"/>
        <v>1</v>
      </c>
      <c r="AB13" s="1568">
        <f t="shared" si="4"/>
        <v>1</v>
      </c>
      <c r="AC13" s="1568">
        <f t="shared" si="5"/>
        <v>1</v>
      </c>
    </row>
    <row r="14" spans="1:29" ht="85.5">
      <c r="A14" s="2933" t="s">
        <v>2763</v>
      </c>
      <c r="B14" s="544" t="s">
        <v>544</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40"/>
      <c r="M14" s="2132"/>
      <c r="N14" s="2132"/>
      <c r="O14" s="2139"/>
      <c r="P14" s="3386" t="s">
        <v>541</v>
      </c>
      <c r="Q14" s="1569" t="str">
        <f t="shared" si="6"/>
        <v>交通便捷度</v>
      </c>
      <c r="R14" s="1570" t="s">
        <v>8</v>
      </c>
      <c r="S14" s="1571">
        <f t="shared" si="0"/>
        <v>100</v>
      </c>
      <c r="T14" s="1570" t="s">
        <v>8</v>
      </c>
      <c r="U14" s="1571">
        <f t="shared" si="1"/>
        <v>100</v>
      </c>
      <c r="V14" s="1570" t="s">
        <v>8</v>
      </c>
      <c r="W14" s="1571">
        <f t="shared" si="2"/>
        <v>100</v>
      </c>
      <c r="X14" s="1564"/>
      <c r="Y14" s="3386" t="s">
        <v>541</v>
      </c>
      <c r="Z14" s="1572" t="str">
        <f t="shared" si="7"/>
        <v>交通便捷度</v>
      </c>
      <c r="AA14" s="1573">
        <f t="shared" si="3"/>
        <v>1</v>
      </c>
      <c r="AB14" s="1573">
        <f t="shared" si="4"/>
        <v>1</v>
      </c>
      <c r="AC14" s="1573">
        <f t="shared" si="5"/>
        <v>1</v>
      </c>
    </row>
    <row r="15" spans="1:29" ht="15">
      <c r="A15" s="512"/>
      <c r="B15" s="920"/>
      <c r="C15" s="573"/>
      <c r="D15" s="552"/>
      <c r="E15" s="573"/>
      <c r="F15" s="554"/>
      <c r="G15" s="573"/>
      <c r="H15" s="556"/>
      <c r="I15" s="573"/>
      <c r="J15" s="552"/>
      <c r="K15" s="895"/>
      <c r="L15" s="2140"/>
      <c r="M15" s="2132"/>
      <c r="N15" s="2132"/>
      <c r="O15" s="2139"/>
      <c r="P15" s="3387"/>
      <c r="Q15" s="1569"/>
      <c r="R15" s="1570"/>
      <c r="S15" s="1571"/>
      <c r="T15" s="1570"/>
      <c r="U15" s="1571"/>
      <c r="V15" s="1570"/>
      <c r="W15" s="1571"/>
      <c r="X15" s="1564"/>
      <c r="Y15" s="3387"/>
      <c r="Z15" s="1572"/>
      <c r="AA15" s="1573">
        <v>1</v>
      </c>
      <c r="AB15" s="1573">
        <v>1</v>
      </c>
      <c r="AC15" s="1573">
        <v>1</v>
      </c>
    </row>
    <row r="16" spans="1:29" ht="42.75">
      <c r="A16" s="512"/>
      <c r="B16" s="2625" t="s">
        <v>2553</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40"/>
      <c r="M16" s="2132"/>
      <c r="N16" s="2132"/>
      <c r="O16" s="2139"/>
      <c r="P16" s="3387"/>
      <c r="Q16" s="1569" t="str">
        <f>B16</f>
        <v>公共配套设施</v>
      </c>
      <c r="R16" s="1570" t="s">
        <v>8</v>
      </c>
      <c r="S16" s="1571">
        <f>F16</f>
        <v>100</v>
      </c>
      <c r="T16" s="1570" t="s">
        <v>8</v>
      </c>
      <c r="U16" s="1571">
        <f>H16</f>
        <v>100</v>
      </c>
      <c r="V16" s="1570" t="s">
        <v>8</v>
      </c>
      <c r="W16" s="1571">
        <f>J16</f>
        <v>100</v>
      </c>
      <c r="X16" s="1564"/>
      <c r="Y16" s="3387"/>
      <c r="Z16" s="1572" t="str">
        <f>Q16</f>
        <v>公共配套设施</v>
      </c>
      <c r="AA16" s="1573">
        <f t="shared" si="3"/>
        <v>1</v>
      </c>
      <c r="AB16" s="1573">
        <f t="shared" si="4"/>
        <v>1</v>
      </c>
      <c r="AC16" s="1573">
        <f t="shared" si="5"/>
        <v>1</v>
      </c>
    </row>
    <row r="17" spans="1:29" ht="15">
      <c r="A17" s="512"/>
      <c r="B17" s="563"/>
      <c r="C17" s="870"/>
      <c r="D17" s="552"/>
      <c r="E17" s="573"/>
      <c r="F17" s="554"/>
      <c r="G17" s="573"/>
      <c r="H17" s="552"/>
      <c r="I17" s="573"/>
      <c r="J17" s="552"/>
      <c r="K17" s="895"/>
      <c r="L17" s="2140"/>
      <c r="M17" s="2132"/>
      <c r="N17" s="2132"/>
      <c r="O17" s="2139"/>
      <c r="P17" s="3387"/>
      <c r="Q17" s="1569"/>
      <c r="R17" s="1570"/>
      <c r="S17" s="1571"/>
      <c r="T17" s="1570"/>
      <c r="U17" s="1571"/>
      <c r="V17" s="1570"/>
      <c r="W17" s="1571"/>
      <c r="X17" s="1564"/>
      <c r="Y17" s="3387"/>
      <c r="Z17" s="1572"/>
      <c r="AA17" s="1573">
        <v>1</v>
      </c>
      <c r="AB17" s="1573">
        <v>1</v>
      </c>
      <c r="AC17" s="1573">
        <v>1</v>
      </c>
    </row>
    <row r="18" spans="1:29" ht="28.5">
      <c r="A18" s="512"/>
      <c r="B18" s="2613" t="s">
        <v>2565</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40"/>
      <c r="M18" s="2132"/>
      <c r="N18" s="2132"/>
      <c r="O18" s="2139"/>
      <c r="P18" s="3387"/>
      <c r="Q18" s="2601" t="str">
        <f>B18</f>
        <v>基础设施水平</v>
      </c>
      <c r="R18" s="1570" t="s">
        <v>8</v>
      </c>
      <c r="S18" s="1571">
        <f>F18</f>
        <v>100</v>
      </c>
      <c r="T18" s="1570" t="s">
        <v>8</v>
      </c>
      <c r="U18" s="1571">
        <f>H18</f>
        <v>100</v>
      </c>
      <c r="V18" s="1570" t="s">
        <v>8</v>
      </c>
      <c r="W18" s="1571">
        <f>J18</f>
        <v>100</v>
      </c>
      <c r="X18" s="2603"/>
      <c r="Y18" s="3387"/>
      <c r="Z18" s="2602" t="str">
        <f>Q18</f>
        <v>基础设施水平</v>
      </c>
      <c r="AA18" s="1573">
        <f t="shared" ref="AA18" si="8">D18/F18</f>
        <v>1</v>
      </c>
      <c r="AB18" s="1573">
        <f t="shared" ref="AB18" si="9">D18/H18</f>
        <v>1</v>
      </c>
      <c r="AC18" s="1573">
        <f t="shared" ref="AC18" si="10">D18/J18</f>
        <v>1</v>
      </c>
    </row>
    <row r="19" spans="1:29" ht="15">
      <c r="A19" s="512"/>
      <c r="B19" s="575"/>
      <c r="C19" s="870"/>
      <c r="D19" s="556"/>
      <c r="E19" s="573"/>
      <c r="F19" s="554"/>
      <c r="G19" s="573"/>
      <c r="H19" s="552"/>
      <c r="I19" s="573"/>
      <c r="J19" s="552"/>
      <c r="K19" s="2624"/>
      <c r="L19" s="2140"/>
      <c r="M19" s="2132"/>
      <c r="N19" s="2132"/>
      <c r="O19" s="2139"/>
      <c r="P19" s="3387"/>
      <c r="Q19" s="2601"/>
      <c r="R19" s="1570"/>
      <c r="S19" s="1571"/>
      <c r="T19" s="1570"/>
      <c r="U19" s="1571"/>
      <c r="V19" s="1570"/>
      <c r="W19" s="1571"/>
      <c r="X19" s="2603"/>
      <c r="Y19" s="3387"/>
      <c r="Z19" s="2602"/>
      <c r="AA19" s="1573">
        <v>1</v>
      </c>
      <c r="AB19" s="1573">
        <v>1</v>
      </c>
      <c r="AC19" s="1573">
        <v>1</v>
      </c>
    </row>
    <row r="20" spans="1:29" ht="57">
      <c r="A20" s="512"/>
      <c r="B20" s="557" t="s">
        <v>805</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40"/>
      <c r="M20" s="2132"/>
      <c r="N20" s="2132"/>
      <c r="O20" s="2139"/>
      <c r="P20" s="3387"/>
      <c r="Q20" s="1569" t="str">
        <f>B20</f>
        <v>自然及人文环境</v>
      </c>
      <c r="R20" s="1570" t="s">
        <v>8</v>
      </c>
      <c r="S20" s="1571">
        <f>F20</f>
        <v>100</v>
      </c>
      <c r="T20" s="1570" t="s">
        <v>8</v>
      </c>
      <c r="U20" s="1571">
        <f>H20</f>
        <v>100</v>
      </c>
      <c r="V20" s="1570" t="s">
        <v>8</v>
      </c>
      <c r="W20" s="1571">
        <f>J20</f>
        <v>100</v>
      </c>
      <c r="X20" s="1564"/>
      <c r="Y20" s="3387"/>
      <c r="Z20" s="1572" t="str">
        <f>Q20</f>
        <v>自然及人文环境</v>
      </c>
      <c r="AA20" s="1573">
        <f t="shared" si="3"/>
        <v>1</v>
      </c>
      <c r="AB20" s="1573">
        <f t="shared" si="4"/>
        <v>1</v>
      </c>
      <c r="AC20" s="1573">
        <f t="shared" si="5"/>
        <v>1</v>
      </c>
    </row>
    <row r="21" spans="1:29" ht="15">
      <c r="A21" s="512"/>
      <c r="B21" s="563"/>
      <c r="C21" s="573"/>
      <c r="D21" s="552"/>
      <c r="E21" s="573"/>
      <c r="F21" s="554"/>
      <c r="G21" s="573"/>
      <c r="H21" s="552"/>
      <c r="I21" s="573"/>
      <c r="J21" s="552"/>
      <c r="K21" s="895"/>
      <c r="L21" s="2140"/>
      <c r="M21" s="2132"/>
      <c r="N21" s="2132"/>
      <c r="O21" s="2139"/>
      <c r="P21" s="3387"/>
      <c r="Q21" s="1569"/>
      <c r="R21" s="1570"/>
      <c r="S21" s="1571"/>
      <c r="T21" s="1570"/>
      <c r="U21" s="1571"/>
      <c r="V21" s="1570"/>
      <c r="W21" s="1571"/>
      <c r="X21" s="1564"/>
      <c r="Y21" s="3387"/>
      <c r="Z21" s="1572"/>
      <c r="AA21" s="1573">
        <v>1</v>
      </c>
      <c r="AB21" s="1573">
        <v>1</v>
      </c>
      <c r="AC21" s="1573">
        <v>1</v>
      </c>
    </row>
    <row r="22" spans="1:29" ht="15">
      <c r="A22" s="512"/>
      <c r="B22" s="557" t="s">
        <v>806</v>
      </c>
      <c r="C22" s="580"/>
      <c r="D22" s="556">
        <v>100</v>
      </c>
      <c r="E22" s="580"/>
      <c r="F22" s="572">
        <f>SUMIF(71:71,E22,72:72)-SUMIF(71:71,C22,72:72)+100</f>
        <v>100</v>
      </c>
      <c r="G22" s="580"/>
      <c r="H22" s="537">
        <f>SUMIF(71:71,G22,72:72)-SUMIF(71:71,C22,72:72)+100</f>
        <v>100</v>
      </c>
      <c r="I22" s="580"/>
      <c r="J22" s="537">
        <f>SUMIF(71:71,I22,72:72)-SUMIF(71:71,C22,72:72)+100</f>
        <v>100</v>
      </c>
      <c r="K22" s="581"/>
      <c r="L22" s="2140"/>
      <c r="M22" s="2132"/>
      <c r="N22" s="2132"/>
      <c r="O22" s="2139"/>
      <c r="P22" s="3387"/>
      <c r="Q22" s="1569" t="str">
        <f>B22</f>
        <v>楼层</v>
      </c>
      <c r="R22" s="1570" t="s">
        <v>8</v>
      </c>
      <c r="S22" s="1571">
        <f>F22</f>
        <v>100</v>
      </c>
      <c r="T22" s="1570" t="s">
        <v>8</v>
      </c>
      <c r="U22" s="1571">
        <f>H22</f>
        <v>100</v>
      </c>
      <c r="V22" s="1570" t="s">
        <v>8</v>
      </c>
      <c r="W22" s="1571">
        <f>J22</f>
        <v>100</v>
      </c>
      <c r="X22" s="1564"/>
      <c r="Y22" s="3387"/>
      <c r="Z22" s="1572" t="str">
        <f>Q22</f>
        <v>楼层</v>
      </c>
      <c r="AA22" s="1573">
        <f t="shared" si="3"/>
        <v>1</v>
      </c>
      <c r="AB22" s="1573">
        <f t="shared" si="4"/>
        <v>1</v>
      </c>
      <c r="AC22" s="1573">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40"/>
      <c r="M23" s="2132"/>
      <c r="N23" s="2132"/>
      <c r="O23" s="2139"/>
      <c r="P23" s="3387"/>
      <c r="Q23" s="1569">
        <f>B23</f>
        <v>111</v>
      </c>
      <c r="R23" s="1570" t="s">
        <v>8</v>
      </c>
      <c r="S23" s="1571">
        <f>F23</f>
        <v>100</v>
      </c>
      <c r="T23" s="1570" t="s">
        <v>8</v>
      </c>
      <c r="U23" s="1571">
        <f>H23</f>
        <v>100</v>
      </c>
      <c r="V23" s="1570" t="s">
        <v>8</v>
      </c>
      <c r="W23" s="1571">
        <f>J23</f>
        <v>100</v>
      </c>
      <c r="X23" s="1564"/>
      <c r="Y23" s="3387"/>
      <c r="Z23" s="1572">
        <f>Q23</f>
        <v>111</v>
      </c>
      <c r="AA23" s="1573">
        <f t="shared" si="3"/>
        <v>1</v>
      </c>
      <c r="AB23" s="1573">
        <f t="shared" si="4"/>
        <v>1</v>
      </c>
      <c r="AC23" s="1573">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40"/>
      <c r="M24" s="2132"/>
      <c r="N24" s="2132"/>
      <c r="O24" s="2139"/>
      <c r="P24" s="3387"/>
      <c r="Q24" s="1569">
        <f t="shared" ref="Q24:Q36" si="11">B24</f>
        <v>111</v>
      </c>
      <c r="R24" s="1570" t="s">
        <v>8</v>
      </c>
      <c r="S24" s="1571">
        <f>F24</f>
        <v>100</v>
      </c>
      <c r="T24" s="1570" t="s">
        <v>8</v>
      </c>
      <c r="U24" s="1571">
        <f>H24</f>
        <v>100</v>
      </c>
      <c r="V24" s="1570" t="s">
        <v>8</v>
      </c>
      <c r="W24" s="1571">
        <f>J24</f>
        <v>100</v>
      </c>
      <c r="X24" s="1564"/>
      <c r="Y24" s="3387"/>
      <c r="Z24" s="1572">
        <f>Q24</f>
        <v>111</v>
      </c>
      <c r="AA24" s="1573">
        <f t="shared" si="3"/>
        <v>1</v>
      </c>
      <c r="AB24" s="1573">
        <f t="shared" si="4"/>
        <v>1</v>
      </c>
      <c r="AC24" s="1573">
        <f t="shared" si="5"/>
        <v>1</v>
      </c>
    </row>
    <row r="25" spans="1:29" s="1216"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33"/>
      <c r="M25" s="2134"/>
      <c r="N25" s="2134"/>
      <c r="O25" s="2135"/>
      <c r="P25" s="3387"/>
      <c r="Q25" s="1147">
        <f t="shared" si="11"/>
        <v>111</v>
      </c>
      <c r="R25" s="1565" t="s">
        <v>8</v>
      </c>
      <c r="S25" s="1566">
        <f>F25</f>
        <v>100</v>
      </c>
      <c r="T25" s="1565" t="s">
        <v>8</v>
      </c>
      <c r="U25" s="1566">
        <f>H25</f>
        <v>100</v>
      </c>
      <c r="V25" s="1565" t="s">
        <v>8</v>
      </c>
      <c r="W25" s="1566">
        <f>J25</f>
        <v>100</v>
      </c>
      <c r="X25" s="1567"/>
      <c r="Y25" s="3387"/>
      <c r="Z25" s="1146">
        <f>Q25</f>
        <v>111</v>
      </c>
      <c r="AA25" s="1573">
        <f>D25/F25</f>
        <v>1</v>
      </c>
      <c r="AB25" s="1573">
        <f>D25/H25</f>
        <v>1</v>
      </c>
      <c r="AC25" s="1573">
        <f>D25/J25</f>
        <v>1</v>
      </c>
    </row>
    <row r="26" spans="1:29" ht="15">
      <c r="A26" s="2931" t="s">
        <v>2764</v>
      </c>
      <c r="B26" s="170" t="s">
        <v>807</v>
      </c>
      <c r="C26" s="924">
        <f>B1</f>
        <v>0</v>
      </c>
      <c r="D26" s="552">
        <v>100</v>
      </c>
      <c r="E26" s="573"/>
      <c r="F26" s="554">
        <f>SUMIF(79:79,E26,80:80)-SUMIF(79:79,C26,80:80)+100</f>
        <v>100</v>
      </c>
      <c r="G26" s="573"/>
      <c r="H26" s="552">
        <f>SUMIF(79:79,G26,80:80)-SUMIF(79:79,C26,80:80)+100</f>
        <v>100</v>
      </c>
      <c r="I26" s="573"/>
      <c r="J26" s="552">
        <f>SUMIF(79:79,I26,80:80)-SUMIF(79:79,C26,80:80)+100</f>
        <v>100</v>
      </c>
      <c r="K26" s="581"/>
      <c r="L26" s="2140"/>
      <c r="M26" s="2132"/>
      <c r="N26" s="2132"/>
      <c r="O26" s="2139"/>
      <c r="P26" s="3388" t="s">
        <v>551</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89" t="s">
        <v>551</v>
      </c>
      <c r="Z26" s="1572" t="str">
        <f t="shared" ref="Z26:Z36" si="15">Q26</f>
        <v>配套类型</v>
      </c>
      <c r="AA26" s="1573">
        <f t="shared" si="3"/>
        <v>1</v>
      </c>
      <c r="AB26" s="1573">
        <f t="shared" si="4"/>
        <v>1</v>
      </c>
      <c r="AC26" s="1573">
        <f t="shared" si="5"/>
        <v>1</v>
      </c>
    </row>
    <row r="27" spans="1:29" s="1335" customFormat="1" ht="15">
      <c r="A27" s="925"/>
      <c r="B27" s="579" t="s">
        <v>808</v>
      </c>
      <c r="C27" s="926"/>
      <c r="D27" s="254">
        <v>100</v>
      </c>
      <c r="E27" s="926"/>
      <c r="F27" s="572">
        <f>SUMIF(81:81,E27,82:82)-SUMIF(81:81,C27,82:82)+100</f>
        <v>100</v>
      </c>
      <c r="G27" s="926"/>
      <c r="H27" s="537">
        <f>SUMIF(81:81,G27,82:82)-SUMIF(81:81,C27,82:82)+100</f>
        <v>100</v>
      </c>
      <c r="I27" s="926"/>
      <c r="J27" s="537">
        <f>SUMIF(81:81,I27,82:82)-SUMIF(81:81,C27,82:82)+100</f>
        <v>100</v>
      </c>
      <c r="K27" s="578"/>
      <c r="L27" s="2138"/>
      <c r="M27" s="2169"/>
      <c r="N27" s="2169"/>
      <c r="O27" s="2141"/>
      <c r="P27" s="3389"/>
      <c r="Q27" s="1602" t="str">
        <f t="shared" si="11"/>
        <v>项目停车位配比</v>
      </c>
      <c r="R27" s="1574" t="s">
        <v>8</v>
      </c>
      <c r="S27" s="1575">
        <f t="shared" si="12"/>
        <v>100</v>
      </c>
      <c r="T27" s="1574" t="s">
        <v>8</v>
      </c>
      <c r="U27" s="1575">
        <f t="shared" si="13"/>
        <v>100</v>
      </c>
      <c r="V27" s="1574" t="s">
        <v>8</v>
      </c>
      <c r="W27" s="1575">
        <f t="shared" si="14"/>
        <v>100</v>
      </c>
      <c r="X27" s="1576"/>
      <c r="Y27" s="3389"/>
      <c r="Z27" s="1577" t="str">
        <f t="shared" si="15"/>
        <v>项目停车位配比</v>
      </c>
      <c r="AA27" s="1573">
        <f t="shared" si="3"/>
        <v>1</v>
      </c>
      <c r="AB27" s="1573">
        <f t="shared" si="4"/>
        <v>1</v>
      </c>
      <c r="AC27" s="1573">
        <f t="shared" si="5"/>
        <v>1</v>
      </c>
    </row>
    <row r="28" spans="1:29" ht="15">
      <c r="A28" s="927"/>
      <c r="B28" s="579" t="s">
        <v>809</v>
      </c>
      <c r="C28" s="571"/>
      <c r="D28" s="537">
        <v>100</v>
      </c>
      <c r="E28" s="571"/>
      <c r="F28" s="572">
        <f>SUMIF(83:83,E28,84:84)-SUMIF(83:83,C28,84:84)+100</f>
        <v>100</v>
      </c>
      <c r="G28" s="571"/>
      <c r="H28" s="537">
        <f>SUMIF(83:83,G28,84:84)-SUMIF(83:83,C28,84:84)+100</f>
        <v>100</v>
      </c>
      <c r="I28" s="571"/>
      <c r="J28" s="537">
        <f>SUMIF(83:83,I28,84:84)-SUMIF(83:83,C28,84:84)+100</f>
        <v>100</v>
      </c>
      <c r="K28" s="581"/>
      <c r="L28" s="2140"/>
      <c r="M28" s="2132"/>
      <c r="N28" s="2132"/>
      <c r="O28" s="2139"/>
      <c r="P28" s="3389"/>
      <c r="Q28" s="1569" t="str">
        <f t="shared" si="11"/>
        <v>公共部分装修</v>
      </c>
      <c r="R28" s="1570" t="s">
        <v>8</v>
      </c>
      <c r="S28" s="1571">
        <f t="shared" si="12"/>
        <v>100</v>
      </c>
      <c r="T28" s="1570" t="s">
        <v>8</v>
      </c>
      <c r="U28" s="1571">
        <f t="shared" si="13"/>
        <v>100</v>
      </c>
      <c r="V28" s="1570" t="s">
        <v>8</v>
      </c>
      <c r="W28" s="1571">
        <f t="shared" si="14"/>
        <v>100</v>
      </c>
      <c r="X28" s="1564"/>
      <c r="Y28" s="3389"/>
      <c r="Z28" s="1572" t="str">
        <f t="shared" si="15"/>
        <v>公共部分装修</v>
      </c>
      <c r="AA28" s="1573">
        <f t="shared" si="3"/>
        <v>1</v>
      </c>
      <c r="AB28" s="1573">
        <f t="shared" si="4"/>
        <v>1</v>
      </c>
      <c r="AC28" s="1573">
        <f t="shared" si="5"/>
        <v>1</v>
      </c>
    </row>
    <row r="29" spans="1:29" ht="15">
      <c r="A29" s="927"/>
      <c r="B29" s="579" t="s">
        <v>810</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40"/>
      <c r="M29" s="2132"/>
      <c r="N29" s="2132"/>
      <c r="O29" s="2139"/>
      <c r="P29" s="3389"/>
      <c r="Q29" s="1569" t="str">
        <f t="shared" si="11"/>
        <v>成新率</v>
      </c>
      <c r="R29" s="1570" t="s">
        <v>8</v>
      </c>
      <c r="S29" s="1571" t="e">
        <f t="shared" si="12"/>
        <v>#N/A</v>
      </c>
      <c r="T29" s="1570" t="s">
        <v>8</v>
      </c>
      <c r="U29" s="1571" t="e">
        <f t="shared" si="13"/>
        <v>#N/A</v>
      </c>
      <c r="V29" s="1570" t="s">
        <v>8</v>
      </c>
      <c r="W29" s="1571" t="e">
        <f t="shared" si="14"/>
        <v>#N/A</v>
      </c>
      <c r="X29" s="1564"/>
      <c r="Y29" s="3389"/>
      <c r="Z29" s="1572" t="str">
        <f t="shared" si="15"/>
        <v>成新率</v>
      </c>
      <c r="AA29" s="1573" t="e">
        <f t="shared" si="3"/>
        <v>#N/A</v>
      </c>
      <c r="AB29" s="1573" t="e">
        <f t="shared" si="4"/>
        <v>#N/A</v>
      </c>
      <c r="AC29" s="1573" t="e">
        <f t="shared" si="5"/>
        <v>#N/A</v>
      </c>
    </row>
    <row r="30" spans="1:29" ht="15">
      <c r="A30" s="927"/>
      <c r="B30" s="579" t="s">
        <v>811</v>
      </c>
      <c r="C30" s="928"/>
      <c r="D30" s="537">
        <v>100</v>
      </c>
      <c r="E30" s="928"/>
      <c r="F30" s="572">
        <f>SUMIF(88:88,E30,89:89)-SUMIF(88:88,C30,89:89)+100</f>
        <v>100</v>
      </c>
      <c r="G30" s="928"/>
      <c r="H30" s="537">
        <f>SUMIF(88:88,E30,89:89)-SUMIF(88:88,C30,89:89)+100</f>
        <v>100</v>
      </c>
      <c r="I30" s="928"/>
      <c r="J30" s="537">
        <f>SUMIF(88:88,E30,89:89)-SUMIF(88:88,C30,89:89)+100</f>
        <v>100</v>
      </c>
      <c r="K30" s="581"/>
      <c r="L30" s="2140"/>
      <c r="M30" s="2132"/>
      <c r="N30" s="2132"/>
      <c r="O30" s="2139"/>
      <c r="P30" s="3389"/>
      <c r="Q30" s="1569" t="str">
        <f t="shared" si="11"/>
        <v>物业等级</v>
      </c>
      <c r="R30" s="1570" t="s">
        <v>8</v>
      </c>
      <c r="S30" s="1571">
        <f t="shared" si="12"/>
        <v>100</v>
      </c>
      <c r="T30" s="1570" t="s">
        <v>8</v>
      </c>
      <c r="U30" s="1571">
        <f t="shared" si="13"/>
        <v>100</v>
      </c>
      <c r="V30" s="1570" t="s">
        <v>8</v>
      </c>
      <c r="W30" s="1571">
        <f t="shared" si="14"/>
        <v>100</v>
      </c>
      <c r="X30" s="1564"/>
      <c r="Y30" s="3389"/>
      <c r="Z30" s="1572" t="str">
        <f t="shared" si="15"/>
        <v>物业等级</v>
      </c>
      <c r="AA30" s="1573">
        <f t="shared" si="3"/>
        <v>1</v>
      </c>
      <c r="AB30" s="1573">
        <f t="shared" si="4"/>
        <v>1</v>
      </c>
      <c r="AC30" s="1573">
        <f t="shared" si="5"/>
        <v>1</v>
      </c>
    </row>
    <row r="31" spans="1:29" s="1216" customFormat="1" ht="15">
      <c r="A31" s="929"/>
      <c r="B31" s="579" t="s">
        <v>812</v>
      </c>
      <c r="C31" s="876"/>
      <c r="D31" s="254">
        <v>100</v>
      </c>
      <c r="E31" s="876"/>
      <c r="F31" s="572" t="e">
        <f>LOOKUP(E31,91:91,92:92)-LOOKUP(C31,91:91,92:92)+100</f>
        <v>#N/A</v>
      </c>
      <c r="G31" s="876"/>
      <c r="H31" s="537" t="e">
        <f>LOOKUP(G31,91:91,92:92)-LOOKUP(C31,91:91,92:92)+100</f>
        <v>#N/A</v>
      </c>
      <c r="I31" s="876"/>
      <c r="J31" s="537" t="e">
        <f>LOOKUP(I31,91:91,92:92)-LOOKUP(C31,91:91,92:92)+100</f>
        <v>#N/A</v>
      </c>
      <c r="K31" s="581"/>
      <c r="L31" s="2133"/>
      <c r="M31" s="2134"/>
      <c r="N31" s="2134"/>
      <c r="O31" s="2135"/>
      <c r="P31" s="3389"/>
      <c r="Q31" s="1147" t="str">
        <f t="shared" si="11"/>
        <v>停车位面积</v>
      </c>
      <c r="R31" s="1565" t="s">
        <v>8</v>
      </c>
      <c r="S31" s="1566" t="e">
        <f t="shared" si="12"/>
        <v>#N/A</v>
      </c>
      <c r="T31" s="1565" t="s">
        <v>8</v>
      </c>
      <c r="U31" s="1566" t="e">
        <f t="shared" si="13"/>
        <v>#N/A</v>
      </c>
      <c r="V31" s="1565" t="s">
        <v>8</v>
      </c>
      <c r="W31" s="1566" t="e">
        <f t="shared" si="14"/>
        <v>#N/A</v>
      </c>
      <c r="X31" s="1567"/>
      <c r="Y31" s="3389"/>
      <c r="Z31" s="1146" t="str">
        <f t="shared" si="15"/>
        <v>停车位面积</v>
      </c>
      <c r="AA31" s="1568" t="e">
        <f t="shared" si="3"/>
        <v>#N/A</v>
      </c>
      <c r="AB31" s="1568" t="e">
        <f t="shared" si="4"/>
        <v>#N/A</v>
      </c>
      <c r="AC31" s="1568" t="e">
        <f t="shared" si="5"/>
        <v>#N/A</v>
      </c>
    </row>
    <row r="32" spans="1:29" ht="15">
      <c r="A32" s="927"/>
      <c r="B32" s="579" t="s">
        <v>813</v>
      </c>
      <c r="C32" s="571"/>
      <c r="D32" s="537">
        <v>100</v>
      </c>
      <c r="E32" s="571"/>
      <c r="F32" s="572">
        <f>SUMIF(93:93,E32,94:94)-SUMIF(93:93,C32,94:94)+100</f>
        <v>100</v>
      </c>
      <c r="G32" s="571"/>
      <c r="H32" s="537">
        <f>SUMIF(93:93,G32,94:94)-SUMIF(93:93,C32,94:94)+100</f>
        <v>100</v>
      </c>
      <c r="I32" s="571"/>
      <c r="J32" s="537">
        <f>SUMIF(93:93,I32,94:94)-SUMIF(93:93,C32,94:94)+100</f>
        <v>100</v>
      </c>
      <c r="K32" s="581"/>
      <c r="L32" s="2140"/>
      <c r="M32" s="2132"/>
      <c r="N32" s="2132"/>
      <c r="O32" s="2139"/>
      <c r="P32" s="3389" t="s">
        <v>551</v>
      </c>
      <c r="Q32" s="1569" t="str">
        <f t="shared" si="11"/>
        <v>车位类型</v>
      </c>
      <c r="R32" s="1570" t="s">
        <v>8</v>
      </c>
      <c r="S32" s="1571">
        <f t="shared" si="12"/>
        <v>100</v>
      </c>
      <c r="T32" s="1570" t="s">
        <v>8</v>
      </c>
      <c r="U32" s="1571">
        <f t="shared" si="13"/>
        <v>100</v>
      </c>
      <c r="V32" s="1570" t="s">
        <v>8</v>
      </c>
      <c r="W32" s="1571">
        <f t="shared" si="14"/>
        <v>100</v>
      </c>
      <c r="X32" s="1564"/>
      <c r="Y32" s="3389" t="s">
        <v>551</v>
      </c>
      <c r="Z32" s="1572" t="str">
        <f t="shared" si="15"/>
        <v>车位类型</v>
      </c>
      <c r="AA32" s="1573">
        <f t="shared" si="3"/>
        <v>1</v>
      </c>
      <c r="AB32" s="1573">
        <f t="shared" si="4"/>
        <v>1</v>
      </c>
      <c r="AC32" s="1573">
        <f t="shared" si="5"/>
        <v>1</v>
      </c>
    </row>
    <row r="33" spans="1:29" ht="15">
      <c r="A33" s="927"/>
      <c r="B33" s="579" t="s">
        <v>814</v>
      </c>
      <c r="C33" s="571"/>
      <c r="D33" s="537">
        <v>100</v>
      </c>
      <c r="E33" s="571"/>
      <c r="F33" s="572">
        <f>SUMIF(95:95,E33,96:96)-SUMIF(95:95,C33,96:96)+100</f>
        <v>100</v>
      </c>
      <c r="G33" s="571"/>
      <c r="H33" s="537">
        <f>SUMIF(95:95,G33,96:96)-SUMIF(95:95,C33,96:96)+100</f>
        <v>100</v>
      </c>
      <c r="I33" s="571"/>
      <c r="J33" s="537">
        <f>SUMIF(95:95,I33,96:96)-SUMIF(95:95,C33,96:96)+100</f>
        <v>100</v>
      </c>
      <c r="K33" s="581"/>
      <c r="L33" s="2140"/>
      <c r="M33" s="2132"/>
      <c r="N33" s="2132"/>
      <c r="O33" s="2139"/>
      <c r="P33" s="3389"/>
      <c r="Q33" s="1569" t="str">
        <f t="shared" si="11"/>
        <v>是否直接入户</v>
      </c>
      <c r="R33" s="1570" t="s">
        <v>8</v>
      </c>
      <c r="S33" s="1571">
        <f t="shared" si="12"/>
        <v>100</v>
      </c>
      <c r="T33" s="1570" t="s">
        <v>8</v>
      </c>
      <c r="U33" s="1571">
        <f t="shared" si="13"/>
        <v>100</v>
      </c>
      <c r="V33" s="1570" t="s">
        <v>8</v>
      </c>
      <c r="W33" s="1571">
        <f t="shared" si="14"/>
        <v>100</v>
      </c>
      <c r="X33" s="1564"/>
      <c r="Y33" s="3389"/>
      <c r="Z33" s="1572" t="str">
        <f t="shared" si="15"/>
        <v>是否直接入户</v>
      </c>
      <c r="AA33" s="1573">
        <f t="shared" si="3"/>
        <v>1</v>
      </c>
      <c r="AB33" s="1573">
        <f t="shared" si="4"/>
        <v>1</v>
      </c>
      <c r="AC33" s="1573">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40"/>
      <c r="M34" s="2132"/>
      <c r="N34" s="2132"/>
      <c r="O34" s="2139"/>
      <c r="P34" s="3389"/>
      <c r="Q34" s="1569">
        <f t="shared" si="11"/>
        <v>111</v>
      </c>
      <c r="R34" s="1570" t="s">
        <v>8</v>
      </c>
      <c r="S34" s="1571">
        <f t="shared" si="12"/>
        <v>100</v>
      </c>
      <c r="T34" s="1570" t="s">
        <v>8</v>
      </c>
      <c r="U34" s="1571">
        <f t="shared" si="13"/>
        <v>100</v>
      </c>
      <c r="V34" s="1570" t="s">
        <v>8</v>
      </c>
      <c r="W34" s="1571">
        <f t="shared" si="14"/>
        <v>100</v>
      </c>
      <c r="X34" s="1564"/>
      <c r="Y34" s="3389"/>
      <c r="Z34" s="1572">
        <f t="shared" si="15"/>
        <v>111</v>
      </c>
      <c r="AA34" s="1573">
        <f t="shared" si="3"/>
        <v>1</v>
      </c>
      <c r="AB34" s="1573">
        <f t="shared" si="4"/>
        <v>1</v>
      </c>
      <c r="AC34" s="1573">
        <f t="shared" si="5"/>
        <v>1</v>
      </c>
    </row>
    <row r="35" spans="1:29" s="1335"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8"/>
      <c r="M35" s="2169"/>
      <c r="N35" s="2169"/>
      <c r="O35" s="2141"/>
      <c r="P35" s="3389"/>
      <c r="Q35" s="1602">
        <f t="shared" si="11"/>
        <v>111</v>
      </c>
      <c r="R35" s="1574" t="s">
        <v>8</v>
      </c>
      <c r="S35" s="1575">
        <f t="shared" si="12"/>
        <v>100</v>
      </c>
      <c r="T35" s="1574" t="s">
        <v>8</v>
      </c>
      <c r="U35" s="1575">
        <f t="shared" si="13"/>
        <v>100</v>
      </c>
      <c r="V35" s="1574" t="s">
        <v>8</v>
      </c>
      <c r="W35" s="1575">
        <f t="shared" si="14"/>
        <v>100</v>
      </c>
      <c r="X35" s="1576"/>
      <c r="Y35" s="3389"/>
      <c r="Z35" s="1577">
        <f t="shared" si="15"/>
        <v>111</v>
      </c>
      <c r="AA35" s="1573">
        <f t="shared" si="3"/>
        <v>1</v>
      </c>
      <c r="AB35" s="1573">
        <f t="shared" si="4"/>
        <v>1</v>
      </c>
      <c r="AC35" s="1573">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0"/>
      <c r="M36" s="2132"/>
      <c r="N36" s="2132"/>
      <c r="O36" s="2139"/>
      <c r="P36" s="3389"/>
      <c r="Q36" s="1569">
        <f t="shared" si="11"/>
        <v>111</v>
      </c>
      <c r="R36" s="1570" t="s">
        <v>8</v>
      </c>
      <c r="S36" s="1571">
        <f t="shared" si="12"/>
        <v>100</v>
      </c>
      <c r="T36" s="1570" t="s">
        <v>8</v>
      </c>
      <c r="U36" s="1571">
        <f t="shared" si="13"/>
        <v>100</v>
      </c>
      <c r="V36" s="1570" t="s">
        <v>8</v>
      </c>
      <c r="W36" s="1571">
        <f t="shared" si="14"/>
        <v>100</v>
      </c>
      <c r="X36" s="1564"/>
      <c r="Y36" s="3389"/>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384" t="str">
        <f>A37</f>
        <v>成交单价</v>
      </c>
      <c r="Q37" s="3384"/>
      <c r="R37" s="3466">
        <f>E37</f>
        <v>0</v>
      </c>
      <c r="S37" s="3466"/>
      <c r="T37" s="3466">
        <f>G37</f>
        <v>0</v>
      </c>
      <c r="U37" s="3466"/>
      <c r="V37" s="3466">
        <f>I37</f>
        <v>0</v>
      </c>
      <c r="W37" s="3466"/>
      <c r="X37" s="1556"/>
      <c r="Y37" s="1578"/>
      <c r="Z37" s="1556"/>
      <c r="AA37" s="1556"/>
      <c r="AB37" s="1556"/>
      <c r="AC37" s="1556"/>
    </row>
    <row r="38" spans="1:29" ht="15.75" thickBot="1">
      <c r="A38" s="612" t="s">
        <v>2769</v>
      </c>
      <c r="B38" s="884"/>
      <c r="C38" s="2655" t="e">
        <f>R39</f>
        <v>#DIV/0!</v>
      </c>
      <c r="D38" s="2656"/>
      <c r="E38" s="2657" t="e">
        <f>R38</f>
        <v>#DIV/0!</v>
      </c>
      <c r="F38" s="2657"/>
      <c r="G38" s="2655" t="e">
        <f>T38</f>
        <v>#DIV/0!</v>
      </c>
      <c r="H38" s="2656"/>
      <c r="I38" s="2657" t="e">
        <f>V38</f>
        <v>#DIV/0!</v>
      </c>
      <c r="J38" s="2656"/>
      <c r="K38" s="1609"/>
      <c r="L38" s="2142"/>
      <c r="M38" s="2143"/>
      <c r="N38" s="2143"/>
      <c r="O38" s="2143"/>
      <c r="P38" s="3384" t="str">
        <f>A38</f>
        <v>比较价格（元/平方米）</v>
      </c>
      <c r="Q38" s="3384"/>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56"/>
      <c r="Y38" s="1556"/>
      <c r="Z38" s="1556"/>
      <c r="AA38" s="1556"/>
      <c r="AB38" s="1556"/>
      <c r="AC38" s="1556"/>
    </row>
    <row r="39" spans="1:29" ht="15.75" thickBot="1">
      <c r="A39" s="618" t="s">
        <v>2946</v>
      </c>
      <c r="B39" s="619"/>
      <c r="C39" s="2658" t="e">
        <f>R39</f>
        <v>#DIV/0!</v>
      </c>
      <c r="D39" s="2658"/>
      <c r="E39" s="2658"/>
      <c r="F39" s="2658"/>
      <c r="G39" s="2658"/>
      <c r="H39" s="2658"/>
      <c r="I39" s="2658"/>
      <c r="J39" s="2658"/>
      <c r="K39" s="1610"/>
      <c r="L39" s="2142"/>
      <c r="M39" s="2143"/>
      <c r="N39" s="2143"/>
      <c r="O39" s="2143"/>
      <c r="P39" s="3406" t="str">
        <f>A39</f>
        <v>估价对象XX用房的比较价格（楼面单价，元/平方米）</v>
      </c>
      <c r="Q39" s="3407"/>
      <c r="R39" s="3465" t="e">
        <f>IF(F1="售价",ROUND(AVERAGE(R38:V38),0),ROUND(AVERAGE(R38:V38),1))</f>
        <v>#DIV/0!</v>
      </c>
      <c r="S39" s="3465"/>
      <c r="T39" s="3465"/>
      <c r="U39" s="3465"/>
      <c r="V39" s="3465"/>
      <c r="W39" s="3465"/>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2" t="s">
        <v>530</v>
      </c>
      <c r="B48" s="643"/>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8"/>
      <c r="Q48" s="2159"/>
      <c r="R48" s="2159"/>
      <c r="S48" s="2159"/>
      <c r="T48" s="2159"/>
      <c r="U48" s="2159"/>
      <c r="V48" s="2159"/>
      <c r="W48" s="2159"/>
      <c r="X48" s="2159"/>
      <c r="Y48" s="2159"/>
      <c r="Z48" s="2159"/>
      <c r="AA48" s="2159"/>
      <c r="AB48" s="2159"/>
      <c r="AC48" s="2159"/>
    </row>
    <row r="49" spans="1:29" s="1216" customFormat="1" ht="15">
      <c r="A49" s="644"/>
      <c r="B49" s="645"/>
      <c r="C49" s="2827">
        <v>100</v>
      </c>
      <c r="D49" s="647"/>
      <c r="E49" s="647"/>
      <c r="F49" s="647"/>
      <c r="G49" s="647"/>
      <c r="H49" s="647"/>
      <c r="I49" s="647"/>
      <c r="J49" s="647"/>
      <c r="K49" s="647"/>
      <c r="L49" s="647"/>
      <c r="M49" s="648"/>
      <c r="N49" s="647"/>
      <c r="O49" s="649"/>
      <c r="P49" s="2156"/>
      <c r="Q49" s="1991"/>
      <c r="R49" s="1991"/>
      <c r="S49" s="1991"/>
      <c r="T49" s="1991"/>
      <c r="U49" s="1991"/>
      <c r="V49" s="1991"/>
      <c r="W49" s="1991"/>
      <c r="X49" s="1991"/>
      <c r="Y49" s="1991"/>
      <c r="Z49" s="1991"/>
      <c r="AA49" s="1991"/>
      <c r="AB49" s="1991"/>
      <c r="AC49" s="1991"/>
    </row>
    <row r="50" spans="1:29" s="1216" customFormat="1" ht="15.75" thickBot="1">
      <c r="A50" s="650" t="s">
        <v>576</v>
      </c>
      <c r="B50" s="651"/>
      <c r="C50" s="652"/>
      <c r="D50" s="653"/>
      <c r="E50" s="653"/>
      <c r="F50" s="653"/>
      <c r="G50" s="653"/>
      <c r="H50" s="653"/>
      <c r="I50" s="653"/>
      <c r="J50" s="653"/>
      <c r="K50" s="653"/>
      <c r="L50" s="653"/>
      <c r="M50" s="654"/>
      <c r="N50" s="653"/>
      <c r="O50" s="655"/>
      <c r="P50" s="2156"/>
      <c r="Q50" s="2156"/>
      <c r="R50" s="1991"/>
      <c r="S50" s="1991"/>
      <c r="T50" s="1991"/>
      <c r="U50" s="1991"/>
      <c r="V50" s="1991"/>
      <c r="W50" s="1991"/>
      <c r="X50" s="1991"/>
      <c r="Y50" s="1991"/>
      <c r="Z50" s="1991"/>
      <c r="AA50" s="1991"/>
      <c r="AB50" s="1991"/>
      <c r="AC50" s="1991"/>
    </row>
    <row r="51" spans="1:29" s="1216" customFormat="1" ht="15">
      <c r="A51" s="656" t="s">
        <v>532</v>
      </c>
      <c r="B51" s="645"/>
      <c r="C51" s="657" t="s">
        <v>577</v>
      </c>
      <c r="D51" s="658"/>
      <c r="E51" s="658"/>
      <c r="F51" s="658"/>
      <c r="G51" s="658"/>
      <c r="H51" s="658"/>
      <c r="I51" s="658"/>
      <c r="J51" s="658"/>
      <c r="K51" s="658"/>
      <c r="L51" s="659"/>
      <c r="M51" s="660"/>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6"/>
      <c r="B52" s="645"/>
      <c r="C52" s="646">
        <v>100</v>
      </c>
      <c r="D52" s="647"/>
      <c r="E52" s="647"/>
      <c r="F52" s="647"/>
      <c r="G52" s="647"/>
      <c r="H52" s="647"/>
      <c r="I52" s="647"/>
      <c r="J52" s="647"/>
      <c r="K52" s="647"/>
      <c r="L52" s="647"/>
      <c r="M52" s="649"/>
      <c r="N52" s="2160"/>
      <c r="O52" s="2160"/>
      <c r="P52" s="2156"/>
      <c r="Q52" s="2156"/>
      <c r="R52" s="1991"/>
      <c r="S52" s="1991"/>
      <c r="T52" s="1991"/>
      <c r="U52" s="1991"/>
      <c r="V52" s="1991"/>
      <c r="W52" s="1991"/>
      <c r="X52" s="1991"/>
      <c r="Y52" s="1991"/>
      <c r="Z52" s="1991"/>
      <c r="AA52" s="1991"/>
      <c r="AB52" s="1991"/>
      <c r="AC52" s="1991"/>
    </row>
    <row r="53" spans="1:29">
      <c r="A53" s="661" t="s">
        <v>578</v>
      </c>
      <c r="B53" s="662" t="s">
        <v>535</v>
      </c>
      <c r="C53" s="701">
        <f>C9</f>
        <v>0</v>
      </c>
      <c r="D53" s="595"/>
      <c r="E53" s="595"/>
      <c r="F53" s="595"/>
      <c r="G53" s="595"/>
      <c r="H53" s="595"/>
      <c r="I53" s="595"/>
      <c r="J53" s="595"/>
      <c r="K53" s="663"/>
      <c r="L53" s="664"/>
      <c r="M53" s="665"/>
      <c r="N53" s="2162"/>
      <c r="O53" s="2162"/>
      <c r="P53" s="2163"/>
      <c r="Q53" s="2156"/>
      <c r="R53" s="2143"/>
      <c r="S53" s="2143"/>
      <c r="T53" s="2143"/>
      <c r="U53" s="2143"/>
      <c r="V53" s="2143"/>
      <c r="W53" s="2143"/>
      <c r="X53" s="2143"/>
      <c r="Y53" s="2143"/>
      <c r="Z53" s="2143"/>
      <c r="AA53" s="2143"/>
      <c r="AB53" s="2143"/>
      <c r="AC53" s="2143"/>
    </row>
    <row r="54" spans="1:29" ht="15.75" thickBot="1">
      <c r="A54" s="666"/>
      <c r="B54" s="667"/>
      <c r="C54" s="668"/>
      <c r="D54" s="668"/>
      <c r="E54" s="668"/>
      <c r="F54" s="668"/>
      <c r="G54" s="668"/>
      <c r="H54" s="668"/>
      <c r="I54" s="668"/>
      <c r="J54" s="668"/>
      <c r="K54" s="668"/>
      <c r="L54" s="668"/>
      <c r="M54" s="669"/>
      <c r="N54" s="2164"/>
      <c r="O54" s="2164"/>
      <c r="P54" s="2163"/>
      <c r="Q54" s="2156"/>
      <c r="R54" s="2143"/>
      <c r="S54" s="2143"/>
      <c r="T54" s="2143"/>
      <c r="U54" s="2143"/>
      <c r="V54" s="2143"/>
      <c r="W54" s="2143"/>
      <c r="X54" s="2143"/>
      <c r="Y54" s="2143"/>
      <c r="Z54" s="2143"/>
      <c r="AA54" s="2143"/>
      <c r="AB54" s="2143"/>
      <c r="AC54" s="2143"/>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62"/>
      <c r="O55" s="2162"/>
      <c r="P55" s="2163"/>
      <c r="Q55" s="2156"/>
      <c r="R55" s="2143"/>
      <c r="S55" s="2143"/>
      <c r="T55" s="2143"/>
      <c r="U55" s="2143"/>
      <c r="V55" s="2143"/>
      <c r="W55" s="2143"/>
      <c r="X55" s="2143"/>
      <c r="Y55" s="2143"/>
      <c r="Z55" s="2143"/>
      <c r="AA55" s="2143"/>
      <c r="AB55" s="2143"/>
      <c r="AC55" s="2143"/>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4"/>
      <c r="O56" s="2164"/>
      <c r="P56" s="2163"/>
      <c r="Q56" s="2156"/>
      <c r="R56" s="2143"/>
      <c r="S56" s="2143"/>
      <c r="T56" s="2143"/>
      <c r="U56" s="2143"/>
      <c r="V56" s="2143"/>
      <c r="W56" s="2143"/>
      <c r="X56" s="2143"/>
      <c r="Y56" s="2143"/>
      <c r="Z56" s="2143"/>
      <c r="AA56" s="2143"/>
      <c r="AB56" s="2143"/>
      <c r="AC56" s="2143"/>
    </row>
    <row r="57" spans="1:29" ht="15.75" thickTop="1">
      <c r="A57" s="666"/>
      <c r="B57" s="931">
        <f>B11</f>
        <v>111</v>
      </c>
      <c r="C57" s="538"/>
      <c r="D57" s="538"/>
      <c r="E57" s="538"/>
      <c r="F57" s="538"/>
      <c r="G57" s="538"/>
      <c r="H57" s="538"/>
      <c r="I57" s="538"/>
      <c r="J57" s="538"/>
      <c r="K57" s="681"/>
      <c r="L57" s="682"/>
      <c r="M57" s="683"/>
      <c r="N57" s="2162"/>
      <c r="O57" s="2162"/>
      <c r="P57" s="2163"/>
      <c r="Q57" s="2156"/>
      <c r="R57" s="2143"/>
      <c r="S57" s="2143"/>
      <c r="T57" s="2143"/>
      <c r="U57" s="2143"/>
      <c r="V57" s="2143"/>
      <c r="W57" s="2143"/>
      <c r="X57" s="2143"/>
      <c r="Y57" s="2143"/>
      <c r="Z57" s="2143"/>
      <c r="AA57" s="2143"/>
      <c r="AB57" s="2143"/>
      <c r="AC57" s="2143"/>
    </row>
    <row r="58" spans="1:29" ht="15.75" thickBot="1">
      <c r="A58" s="666"/>
      <c r="B58" s="667"/>
      <c r="C58" s="689"/>
      <c r="D58" s="668"/>
      <c r="E58" s="668"/>
      <c r="F58" s="668"/>
      <c r="G58" s="668"/>
      <c r="H58" s="668"/>
      <c r="I58" s="668"/>
      <c r="J58" s="668"/>
      <c r="K58" s="668"/>
      <c r="L58" s="668"/>
      <c r="M58" s="669"/>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4"/>
      <c r="B59" s="670">
        <f>B12</f>
        <v>111</v>
      </c>
      <c r="C59" s="538"/>
      <c r="D59" s="538"/>
      <c r="E59" s="538"/>
      <c r="F59" s="538"/>
      <c r="G59" s="685"/>
      <c r="H59" s="686"/>
      <c r="I59" s="686"/>
      <c r="J59" s="686"/>
      <c r="K59" s="686"/>
      <c r="L59" s="687"/>
      <c r="M59" s="688"/>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4"/>
      <c r="B60" s="675"/>
      <c r="C60" s="689"/>
      <c r="D60" s="668"/>
      <c r="E60" s="668"/>
      <c r="F60" s="668"/>
      <c r="G60" s="668"/>
      <c r="H60" s="668"/>
      <c r="I60" s="668"/>
      <c r="J60" s="668"/>
      <c r="K60" s="668"/>
      <c r="L60" s="668"/>
      <c r="M60" s="669"/>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4"/>
      <c r="B61" s="670">
        <f>B13</f>
        <v>111</v>
      </c>
      <c r="C61" s="685"/>
      <c r="D61" s="685"/>
      <c r="E61" s="685"/>
      <c r="F61" s="685"/>
      <c r="G61" s="685"/>
      <c r="H61" s="686"/>
      <c r="I61" s="686"/>
      <c r="J61" s="686"/>
      <c r="K61" s="686"/>
      <c r="L61" s="687"/>
      <c r="M61" s="688"/>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4"/>
      <c r="B62" s="675"/>
      <c r="C62" s="689"/>
      <c r="D62" s="689"/>
      <c r="E62" s="689"/>
      <c r="F62" s="689"/>
      <c r="G62" s="689"/>
      <c r="H62" s="690"/>
      <c r="I62" s="690"/>
      <c r="J62" s="690"/>
      <c r="K62" s="690"/>
      <c r="L62" s="690"/>
      <c r="M62" s="691"/>
      <c r="N62" s="2165"/>
      <c r="O62" s="2165"/>
      <c r="P62" s="2166"/>
      <c r="Q62" s="2167"/>
      <c r="R62" s="2168"/>
      <c r="S62" s="2168"/>
      <c r="T62" s="2168"/>
      <c r="U62" s="2168"/>
      <c r="V62" s="2168"/>
      <c r="W62" s="2168"/>
      <c r="X62" s="2168"/>
      <c r="Y62" s="2168"/>
      <c r="Z62" s="2168"/>
      <c r="AA62" s="2168"/>
      <c r="AB62" s="2168"/>
      <c r="AC62" s="2168"/>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62"/>
      <c r="O63" s="2162"/>
      <c r="P63" s="2172"/>
      <c r="Q63" s="2156"/>
      <c r="R63" s="2143"/>
      <c r="S63" s="2143"/>
      <c r="T63" s="2143"/>
      <c r="U63" s="2143"/>
      <c r="V63" s="2143"/>
      <c r="W63" s="2143"/>
      <c r="X63" s="2143"/>
      <c r="Y63" s="2143"/>
      <c r="Z63" s="2143"/>
      <c r="AA63" s="2143"/>
      <c r="AB63" s="2143"/>
      <c r="AC63" s="2143"/>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1894" t="s">
        <v>2564</v>
      </c>
      <c r="C65" s="705" t="s">
        <v>580</v>
      </c>
      <c r="D65" s="705" t="s">
        <v>581</v>
      </c>
      <c r="E65" s="705" t="s">
        <v>582</v>
      </c>
      <c r="F65" s="705" t="s">
        <v>583</v>
      </c>
      <c r="G65" s="705" t="s">
        <v>584</v>
      </c>
      <c r="H65" s="671"/>
      <c r="I65" s="671"/>
      <c r="J65" s="671"/>
      <c r="K65" s="672"/>
      <c r="L65" s="673"/>
      <c r="M65" s="674"/>
      <c r="N65" s="2162"/>
      <c r="O65" s="2162"/>
      <c r="P65" s="2163"/>
      <c r="Q65" s="2156"/>
      <c r="R65" s="2143"/>
      <c r="S65" s="2143"/>
      <c r="T65" s="2143"/>
      <c r="U65" s="2143"/>
      <c r="V65" s="2143"/>
      <c r="W65" s="2143"/>
      <c r="X65" s="2143"/>
      <c r="Y65" s="2143"/>
      <c r="Z65" s="2143"/>
      <c r="AA65" s="2143"/>
      <c r="AB65" s="2143"/>
      <c r="AC65" s="2143"/>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4"/>
      <c r="O66" s="2164"/>
      <c r="P66" s="2163"/>
      <c r="Q66" s="2156"/>
      <c r="R66" s="2143"/>
      <c r="S66" s="2143"/>
      <c r="T66" s="2143"/>
      <c r="U66" s="2143"/>
      <c r="V66" s="2143"/>
      <c r="W66" s="2143"/>
      <c r="X66" s="2143"/>
      <c r="Y66" s="2143"/>
      <c r="Z66" s="2143"/>
      <c r="AA66" s="2143"/>
      <c r="AB66" s="2143"/>
      <c r="AC66" s="2143"/>
    </row>
    <row r="67" spans="1:29" ht="15.75" thickTop="1">
      <c r="A67" s="666"/>
      <c r="B67" s="2619" t="s">
        <v>2565</v>
      </c>
      <c r="C67" s="2620" t="s">
        <v>2566</v>
      </c>
      <c r="D67" s="2620" t="s">
        <v>2567</v>
      </c>
      <c r="E67" s="2620" t="s">
        <v>2568</v>
      </c>
      <c r="F67" s="2620" t="s">
        <v>2569</v>
      </c>
      <c r="G67" s="2620" t="s">
        <v>2570</v>
      </c>
      <c r="H67" s="671"/>
      <c r="I67" s="671"/>
      <c r="J67" s="671"/>
      <c r="K67" s="671"/>
      <c r="L67" s="671"/>
      <c r="M67" s="2623"/>
      <c r="N67" s="2164"/>
      <c r="O67" s="2164"/>
      <c r="P67" s="2163"/>
      <c r="Q67" s="2156"/>
      <c r="R67" s="2143"/>
      <c r="S67" s="2143"/>
      <c r="T67" s="2143"/>
      <c r="U67" s="2143"/>
      <c r="V67" s="2143"/>
      <c r="W67" s="2143"/>
      <c r="X67" s="2143"/>
      <c r="Y67" s="2143"/>
      <c r="Z67" s="2143"/>
      <c r="AA67" s="2143"/>
      <c r="AB67" s="2143"/>
      <c r="AC67" s="2143"/>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745</v>
      </c>
      <c r="C69" s="705" t="s">
        <v>580</v>
      </c>
      <c r="D69" s="705" t="s">
        <v>581</v>
      </c>
      <c r="E69" s="705" t="s">
        <v>582</v>
      </c>
      <c r="F69" s="705" t="s">
        <v>583</v>
      </c>
      <c r="G69" s="705" t="s">
        <v>584</v>
      </c>
      <c r="H69" s="671"/>
      <c r="I69" s="671"/>
      <c r="J69" s="671"/>
      <c r="K69" s="672"/>
      <c r="L69" s="673"/>
      <c r="M69" s="674"/>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ht="15.75" thickTop="1">
      <c r="A71" s="666"/>
      <c r="B71" s="670" t="s">
        <v>746</v>
      </c>
      <c r="C71" s="685"/>
      <c r="D71" s="685"/>
      <c r="E71" s="685"/>
      <c r="F71" s="685"/>
      <c r="G71" s="685"/>
      <c r="H71" s="715"/>
      <c r="I71" s="715"/>
      <c r="J71" s="715"/>
      <c r="K71" s="716"/>
      <c r="L71" s="717"/>
      <c r="M71" s="718"/>
      <c r="N71" s="2162"/>
      <c r="O71" s="2162"/>
      <c r="P71" s="2163"/>
      <c r="Q71" s="2156"/>
      <c r="R71" s="2143"/>
      <c r="S71" s="2143"/>
      <c r="T71" s="2143"/>
      <c r="U71" s="2143"/>
      <c r="V71" s="2143"/>
      <c r="W71" s="2143"/>
      <c r="X71" s="2143"/>
      <c r="Y71" s="2143"/>
      <c r="Z71" s="2143"/>
      <c r="AA71" s="2143"/>
      <c r="AB71" s="2143"/>
      <c r="AC71" s="2143"/>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6"/>
      <c r="B73" s="670">
        <f>B23</f>
        <v>111</v>
      </c>
      <c r="C73" s="538"/>
      <c r="D73" s="538"/>
      <c r="E73" s="538"/>
      <c r="F73" s="538"/>
      <c r="G73" s="685"/>
      <c r="H73" s="685"/>
      <c r="I73" s="685"/>
      <c r="J73" s="685"/>
      <c r="K73" s="685"/>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6"/>
      <c r="B75" s="670">
        <f>B24</f>
        <v>111</v>
      </c>
      <c r="C75" s="538"/>
      <c r="D75" s="538"/>
      <c r="E75" s="538"/>
      <c r="F75" s="538"/>
      <c r="G75" s="685"/>
      <c r="H75" s="685"/>
      <c r="I75" s="685"/>
      <c r="J75" s="685"/>
      <c r="K75" s="685"/>
      <c r="L75" s="685"/>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6"/>
      <c r="B76" s="675"/>
      <c r="C76" s="689"/>
      <c r="D76" s="668"/>
      <c r="E76" s="668"/>
      <c r="F76" s="668"/>
      <c r="G76" s="668"/>
      <c r="H76" s="668"/>
      <c r="I76" s="668"/>
      <c r="J76" s="668"/>
      <c r="K76" s="668"/>
      <c r="L76" s="668"/>
      <c r="M76" s="669"/>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4"/>
      <c r="B77" s="670">
        <f>B25</f>
        <v>111</v>
      </c>
      <c r="C77" s="685"/>
      <c r="D77" s="685"/>
      <c r="E77" s="685"/>
      <c r="F77" s="685"/>
      <c r="G77" s="685"/>
      <c r="H77" s="686"/>
      <c r="I77" s="686"/>
      <c r="J77" s="686"/>
      <c r="K77" s="686"/>
      <c r="L77" s="687"/>
      <c r="M77" s="688"/>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4"/>
      <c r="B78" s="675"/>
      <c r="C78" s="689"/>
      <c r="D78" s="689"/>
      <c r="E78" s="689"/>
      <c r="F78" s="689"/>
      <c r="G78" s="668"/>
      <c r="H78" s="668"/>
      <c r="I78" s="668"/>
      <c r="J78" s="668"/>
      <c r="K78" s="668"/>
      <c r="L78" s="668"/>
      <c r="M78" s="669"/>
      <c r="N78" s="2165"/>
      <c r="O78" s="2165"/>
      <c r="P78" s="2166"/>
      <c r="Q78" s="2167"/>
      <c r="R78" s="2168"/>
      <c r="S78" s="2168"/>
      <c r="T78" s="2168"/>
      <c r="U78" s="2168"/>
      <c r="V78" s="2168"/>
      <c r="W78" s="2168"/>
      <c r="X78" s="2168"/>
      <c r="Y78" s="2168"/>
      <c r="Z78" s="2168"/>
      <c r="AA78" s="2168"/>
      <c r="AB78" s="2168"/>
      <c r="AC78" s="2168"/>
    </row>
    <row r="79" spans="1:29" ht="27.75" thickTop="1">
      <c r="A79" s="661" t="s">
        <v>552</v>
      </c>
      <c r="B79" s="662" t="s">
        <v>815</v>
      </c>
      <c r="C79" s="701">
        <f>C26</f>
        <v>0</v>
      </c>
      <c r="D79" s="595"/>
      <c r="E79" s="595"/>
      <c r="F79" s="595"/>
      <c r="G79" s="595"/>
      <c r="H79" s="595"/>
      <c r="I79" s="595"/>
      <c r="J79" s="595"/>
      <c r="K79" s="663"/>
      <c r="L79" s="664"/>
      <c r="M79" s="665"/>
      <c r="N79" s="2162"/>
      <c r="O79" s="2162"/>
      <c r="P79" s="2163"/>
      <c r="Q79" s="2156"/>
      <c r="R79" s="2143"/>
      <c r="S79" s="2143"/>
      <c r="T79" s="2143"/>
      <c r="U79" s="2143"/>
      <c r="V79" s="2143"/>
      <c r="W79" s="2143"/>
      <c r="X79" s="2143"/>
      <c r="Y79" s="2143"/>
      <c r="Z79" s="2143"/>
      <c r="AA79" s="2143"/>
      <c r="AB79" s="2143"/>
      <c r="AC79" s="2143"/>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6"/>
      <c r="B81" s="670" t="s">
        <v>816</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4"/>
      <c r="B82" s="675"/>
      <c r="C82" s="689"/>
      <c r="D82" s="668"/>
      <c r="E82" s="668"/>
      <c r="F82" s="668"/>
      <c r="G82" s="668"/>
      <c r="H82" s="668"/>
      <c r="I82" s="668"/>
      <c r="J82" s="668"/>
      <c r="K82" s="668"/>
      <c r="L82" s="668"/>
      <c r="M82" s="669"/>
      <c r="N82" s="2164"/>
      <c r="O82" s="2164"/>
      <c r="P82" s="2166"/>
      <c r="Q82" s="2167"/>
      <c r="R82" s="2168"/>
      <c r="S82" s="2168"/>
      <c r="T82" s="2168"/>
      <c r="U82" s="2168"/>
      <c r="V82" s="2168"/>
      <c r="W82" s="2168"/>
      <c r="X82" s="2168"/>
      <c r="Y82" s="2168"/>
      <c r="Z82" s="2168"/>
      <c r="AA82" s="2168"/>
      <c r="AB82" s="2168"/>
      <c r="AC82" s="2168"/>
    </row>
    <row r="83" spans="1:29" ht="15" thickTop="1">
      <c r="A83" s="732"/>
      <c r="B83" s="670" t="s">
        <v>752</v>
      </c>
      <c r="C83" s="685"/>
      <c r="D83" s="685"/>
      <c r="E83" s="715"/>
      <c r="F83" s="715"/>
      <c r="G83" s="715"/>
      <c r="H83" s="715"/>
      <c r="I83" s="715"/>
      <c r="J83" s="715"/>
      <c r="K83" s="716"/>
      <c r="L83" s="717"/>
      <c r="M83" s="718"/>
      <c r="N83" s="2162"/>
      <c r="O83" s="2162"/>
      <c r="P83" s="2163"/>
      <c r="Q83" s="2156"/>
      <c r="R83" s="2143"/>
      <c r="S83" s="2143"/>
      <c r="T83" s="2143"/>
      <c r="U83" s="2143"/>
      <c r="V83" s="2143"/>
      <c r="W83" s="2143"/>
      <c r="X83" s="2143"/>
      <c r="Y83" s="2143"/>
      <c r="Z83" s="2143"/>
      <c r="AA83" s="2143"/>
      <c r="AB83" s="2143"/>
      <c r="AC83" s="2143"/>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2"/>
      <c r="O85" s="2162"/>
      <c r="P85" s="2163"/>
      <c r="Q85" s="2156"/>
      <c r="R85" s="2143"/>
      <c r="S85" s="2143"/>
      <c r="T85" s="2143"/>
      <c r="U85" s="2143"/>
      <c r="V85" s="2143"/>
      <c r="W85" s="2143"/>
      <c r="X85" s="2143"/>
      <c r="Y85" s="2143"/>
      <c r="Z85" s="2143"/>
      <c r="AA85" s="2143"/>
      <c r="AB85" s="2143"/>
      <c r="AC85" s="2143"/>
    </row>
    <row r="86" spans="1:29">
      <c r="A86" s="732"/>
      <c r="B86" s="678"/>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2"/>
      <c r="B88" s="678" t="s">
        <v>818</v>
      </c>
      <c r="C88" s="595"/>
      <c r="D88" s="595"/>
      <c r="E88" s="595"/>
      <c r="F88" s="595"/>
      <c r="G88" s="595"/>
      <c r="H88" s="595"/>
      <c r="I88" s="595"/>
      <c r="J88" s="595"/>
      <c r="K88" s="663"/>
      <c r="L88" s="664"/>
      <c r="M88" s="665"/>
      <c r="N88" s="2162"/>
      <c r="O88" s="2162"/>
      <c r="P88" s="2163"/>
      <c r="Q88" s="2156"/>
      <c r="R88" s="2143"/>
      <c r="S88" s="2143"/>
      <c r="T88" s="2143"/>
      <c r="U88" s="2143"/>
      <c r="V88" s="2143"/>
      <c r="W88" s="2143"/>
      <c r="X88" s="2143"/>
      <c r="Y88" s="2143"/>
      <c r="Z88" s="2143"/>
      <c r="AA88" s="2143"/>
      <c r="AB88" s="2143"/>
      <c r="AC88" s="2143"/>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5"/>
      <c r="B91" s="678"/>
      <c r="C91" s="727"/>
      <c r="D91" s="727"/>
      <c r="E91" s="727"/>
      <c r="F91" s="727"/>
      <c r="G91" s="727"/>
      <c r="H91" s="727"/>
      <c r="I91" s="727"/>
      <c r="J91" s="728"/>
      <c r="K91" s="728"/>
      <c r="L91" s="729"/>
      <c r="M91" s="730"/>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4"/>
      <c r="B92" s="675"/>
      <c r="C92" s="689"/>
      <c r="D92" s="668"/>
      <c r="E92" s="668"/>
      <c r="F92" s="668"/>
      <c r="G92" s="668"/>
      <c r="H92" s="668"/>
      <c r="I92" s="668"/>
      <c r="J92" s="668"/>
      <c r="K92" s="668"/>
      <c r="L92" s="668"/>
      <c r="M92" s="669"/>
      <c r="N92" s="2165"/>
      <c r="O92" s="2165"/>
      <c r="P92" s="2166"/>
      <c r="Q92" s="2167"/>
      <c r="R92" s="2168"/>
      <c r="S92" s="2168"/>
      <c r="T92" s="2168"/>
      <c r="U92" s="2168"/>
      <c r="V92" s="2168"/>
      <c r="W92" s="2168"/>
      <c r="X92" s="2168"/>
      <c r="Y92" s="2168"/>
      <c r="Z92" s="2168"/>
      <c r="AA92" s="2168"/>
      <c r="AB92" s="2168"/>
      <c r="AC92" s="2168"/>
    </row>
    <row r="93" spans="1:29" ht="15" thickTop="1">
      <c r="A93" s="732"/>
      <c r="B93" s="670" t="s">
        <v>820</v>
      </c>
      <c r="C93" s="685"/>
      <c r="D93" s="685"/>
      <c r="E93" s="715"/>
      <c r="F93" s="715"/>
      <c r="G93" s="715"/>
      <c r="H93" s="715"/>
      <c r="I93" s="715"/>
      <c r="J93" s="715"/>
      <c r="K93" s="716"/>
      <c r="L93" s="717"/>
      <c r="M93" s="71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2"/>
      <c r="B95" s="670" t="s">
        <v>821</v>
      </c>
      <c r="C95" s="595"/>
      <c r="D95" s="595"/>
      <c r="E95" s="595"/>
      <c r="F95" s="595"/>
      <c r="G95" s="595"/>
      <c r="H95" s="595"/>
      <c r="I95" s="595"/>
      <c r="J95" s="595"/>
      <c r="K95" s="663"/>
      <c r="L95" s="664"/>
      <c r="M95" s="665"/>
      <c r="N95" s="2162"/>
      <c r="O95" s="2162"/>
      <c r="P95" s="2163"/>
      <c r="Q95" s="2156"/>
      <c r="R95" s="2143"/>
      <c r="S95" s="2143"/>
      <c r="T95" s="2143"/>
      <c r="U95" s="2143"/>
      <c r="V95" s="2143"/>
      <c r="W95" s="2143"/>
      <c r="X95" s="2143"/>
      <c r="Y95" s="2143"/>
      <c r="Z95" s="2143"/>
      <c r="AA95" s="2143"/>
      <c r="AB95" s="2143"/>
      <c r="AC95" s="2143"/>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4"/>
      <c r="O96" s="2164"/>
      <c r="P96" s="2163"/>
      <c r="Q96" s="2156"/>
      <c r="R96" s="2143"/>
      <c r="S96" s="2143"/>
      <c r="T96" s="2143"/>
      <c r="U96" s="2143"/>
      <c r="V96" s="2143"/>
      <c r="W96" s="2143"/>
      <c r="X96" s="2143"/>
      <c r="Y96" s="2143"/>
      <c r="Z96" s="2143"/>
      <c r="AA96" s="2143"/>
      <c r="AB96" s="2143"/>
      <c r="AC96" s="2143"/>
    </row>
    <row r="97" spans="1:29" ht="15" thickTop="1">
      <c r="A97" s="732"/>
      <c r="B97" s="913">
        <f>B34</f>
        <v>111</v>
      </c>
      <c r="C97" s="538"/>
      <c r="D97" s="538"/>
      <c r="E97" s="538"/>
      <c r="F97" s="538"/>
      <c r="G97" s="685"/>
      <c r="H97" s="686"/>
      <c r="I97" s="686"/>
      <c r="J97" s="686"/>
      <c r="K97" s="686"/>
      <c r="L97" s="687"/>
      <c r="M97" s="688"/>
      <c r="N97" s="2164"/>
      <c r="O97" s="2164"/>
      <c r="P97" s="2203"/>
      <c r="Q97" s="2204"/>
      <c r="R97" s="2143"/>
      <c r="S97" s="2143"/>
      <c r="T97" s="2143"/>
      <c r="U97" s="2143"/>
      <c r="V97" s="2143"/>
      <c r="W97" s="2143"/>
      <c r="X97" s="2143"/>
      <c r="Y97" s="2143"/>
      <c r="Z97" s="2143"/>
      <c r="AA97" s="2143"/>
      <c r="AB97" s="2143"/>
      <c r="AC97" s="2143"/>
    </row>
    <row r="98" spans="1:29" ht="15.75" thickBot="1">
      <c r="A98" s="666"/>
      <c r="B98" s="675"/>
      <c r="C98" s="689"/>
      <c r="D98" s="668"/>
      <c r="E98" s="668"/>
      <c r="F98" s="668"/>
      <c r="G98" s="689"/>
      <c r="H98" s="690"/>
      <c r="I98" s="690"/>
      <c r="J98" s="690"/>
      <c r="K98" s="690"/>
      <c r="L98" s="690"/>
      <c r="M98" s="691"/>
      <c r="N98" s="2164"/>
      <c r="O98" s="2164"/>
      <c r="P98" s="2163"/>
      <c r="Q98" s="2156"/>
      <c r="R98" s="2143"/>
      <c r="S98" s="2143"/>
      <c r="T98" s="2143"/>
      <c r="U98" s="2143"/>
      <c r="V98" s="2143"/>
      <c r="W98" s="2143"/>
      <c r="X98" s="2143"/>
      <c r="Y98" s="2143"/>
      <c r="Z98" s="2143"/>
      <c r="AA98" s="2143"/>
      <c r="AB98" s="2143"/>
      <c r="AC98" s="2143"/>
    </row>
    <row r="99" spans="1:29" s="1335" customFormat="1" ht="15" thickTop="1">
      <c r="A99" s="725"/>
      <c r="B99" s="670">
        <f>B35</f>
        <v>111</v>
      </c>
      <c r="C99" s="538"/>
      <c r="D99" s="538"/>
      <c r="E99" s="538"/>
      <c r="F99" s="538"/>
      <c r="G99" s="685"/>
      <c r="H99" s="686"/>
      <c r="I99" s="686"/>
      <c r="J99" s="686"/>
      <c r="K99" s="686"/>
      <c r="L99" s="687"/>
      <c r="M99" s="688"/>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4"/>
      <c r="B100" s="667"/>
      <c r="C100" s="689"/>
      <c r="D100" s="668"/>
      <c r="E100" s="668"/>
      <c r="F100" s="668"/>
      <c r="G100" s="689"/>
      <c r="H100" s="690"/>
      <c r="I100" s="690"/>
      <c r="J100" s="690"/>
      <c r="K100" s="690"/>
      <c r="L100" s="690"/>
      <c r="M100" s="691"/>
      <c r="N100" s="2165"/>
      <c r="O100" s="2165"/>
      <c r="P100" s="2166"/>
      <c r="Q100" s="2167"/>
      <c r="R100" s="2168"/>
      <c r="S100" s="2168"/>
      <c r="T100" s="2168"/>
      <c r="U100" s="2168"/>
      <c r="V100" s="2168"/>
      <c r="W100" s="2168"/>
      <c r="X100" s="2168"/>
      <c r="Y100" s="2168"/>
      <c r="Z100" s="2168"/>
      <c r="AA100" s="2168"/>
      <c r="AB100" s="2168"/>
      <c r="AC100" s="2168"/>
    </row>
    <row r="101" spans="1:29" ht="15" thickTop="1">
      <c r="A101" s="732"/>
      <c r="B101" s="670">
        <f>B36</f>
        <v>111</v>
      </c>
      <c r="C101" s="685"/>
      <c r="D101" s="685"/>
      <c r="E101" s="685"/>
      <c r="F101" s="685"/>
      <c r="G101" s="685"/>
      <c r="H101" s="686"/>
      <c r="I101" s="686"/>
      <c r="J101" s="686"/>
      <c r="K101" s="686"/>
      <c r="L101" s="687"/>
      <c r="M101" s="688"/>
      <c r="N101" s="2162"/>
      <c r="O101" s="2162"/>
      <c r="P101" s="2163"/>
      <c r="Q101" s="2156"/>
      <c r="R101" s="2143"/>
      <c r="S101" s="2143"/>
      <c r="T101" s="2143"/>
      <c r="U101" s="2143"/>
      <c r="V101" s="2143"/>
      <c r="W101" s="2143"/>
      <c r="X101" s="2143"/>
      <c r="Y101" s="2143"/>
      <c r="Z101" s="2143"/>
      <c r="AA101" s="2143"/>
      <c r="AB101" s="2143"/>
      <c r="AC101" s="2143"/>
    </row>
    <row r="102" spans="1:29" ht="15.75" thickBot="1">
      <c r="A102" s="666"/>
      <c r="B102" s="675"/>
      <c r="C102" s="689"/>
      <c r="D102" s="689"/>
      <c r="E102" s="689"/>
      <c r="F102" s="689"/>
      <c r="G102" s="689"/>
      <c r="H102" s="690"/>
      <c r="I102" s="690"/>
      <c r="J102" s="690"/>
      <c r="K102" s="690"/>
      <c r="L102" s="690"/>
      <c r="M102" s="691"/>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499" t="s">
        <v>719</v>
      </c>
      <c r="B1" s="919"/>
      <c r="C1" s="501" t="s">
        <v>793</v>
      </c>
      <c r="D1" s="846"/>
      <c r="E1" s="503"/>
      <c r="F1" s="2831"/>
      <c r="G1" s="1598" t="s">
        <v>794</v>
      </c>
      <c r="H1" s="503"/>
      <c r="I1" s="503"/>
      <c r="J1" s="503"/>
      <c r="K1" s="504"/>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0" t="s">
        <v>795</v>
      </c>
      <c r="B2" s="847"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6" t="s">
        <v>796</v>
      </c>
      <c r="B3" s="507" t="e">
        <f>C37</f>
        <v>#DIV/0!</v>
      </c>
      <c r="C3" s="849" t="s">
        <v>797</v>
      </c>
      <c r="D3" s="848">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5"/>
    </row>
    <row r="4" spans="1:29" ht="15">
      <c r="A4" s="509" t="s">
        <v>798</v>
      </c>
      <c r="B4" s="510"/>
      <c r="C4" s="3390" t="s">
        <v>799</v>
      </c>
      <c r="D4" s="3391"/>
      <c r="E4" s="3415" t="s">
        <v>800</v>
      </c>
      <c r="F4" s="3416"/>
      <c r="G4" s="3390" t="s">
        <v>801</v>
      </c>
      <c r="H4" s="3391"/>
      <c r="I4" s="3390" t="s">
        <v>802</v>
      </c>
      <c r="J4" s="3391"/>
      <c r="K4" s="511" t="s">
        <v>803</v>
      </c>
      <c r="L4" s="2131"/>
      <c r="M4" s="2132"/>
      <c r="N4" s="2132"/>
      <c r="O4" s="2132"/>
      <c r="P4" s="3392" t="s">
        <v>804</v>
      </c>
      <c r="Q4" s="3393"/>
      <c r="R4" s="3378" t="s">
        <v>800</v>
      </c>
      <c r="S4" s="3379"/>
      <c r="T4" s="3378" t="s">
        <v>801</v>
      </c>
      <c r="U4" s="3379"/>
      <c r="V4" s="3398" t="s">
        <v>802</v>
      </c>
      <c r="W4" s="3398"/>
      <c r="X4" s="1564"/>
      <c r="Y4" s="3378" t="s">
        <v>804</v>
      </c>
      <c r="Z4" s="3379"/>
      <c r="AA4" s="3373" t="s">
        <v>800</v>
      </c>
      <c r="AB4" s="3374" t="s">
        <v>801</v>
      </c>
      <c r="AC4" s="3373" t="s">
        <v>802</v>
      </c>
    </row>
    <row r="5" spans="1:29" ht="15">
      <c r="A5" s="512"/>
      <c r="B5" s="513"/>
      <c r="C5" s="3401" t="s">
        <v>2940</v>
      </c>
      <c r="D5" s="3402"/>
      <c r="E5" s="3417" t="s">
        <v>2941</v>
      </c>
      <c r="F5" s="3418"/>
      <c r="G5" s="3401" t="s">
        <v>2942</v>
      </c>
      <c r="H5" s="3402"/>
      <c r="I5" s="3401" t="s">
        <v>2943</v>
      </c>
      <c r="J5" s="3402"/>
      <c r="K5" s="511"/>
      <c r="L5" s="2131"/>
      <c r="M5" s="2132"/>
      <c r="N5" s="2132"/>
      <c r="O5" s="2132"/>
      <c r="P5" s="3394"/>
      <c r="Q5" s="3395"/>
      <c r="R5" s="3380"/>
      <c r="S5" s="3381"/>
      <c r="T5" s="3380"/>
      <c r="U5" s="3381"/>
      <c r="V5" s="3398"/>
      <c r="W5" s="3398"/>
      <c r="X5" s="1564"/>
      <c r="Y5" s="3380"/>
      <c r="Z5" s="3381"/>
      <c r="AA5" s="3374"/>
      <c r="AB5" s="3374"/>
      <c r="AC5" s="3374"/>
    </row>
    <row r="6" spans="1:29" ht="15.75" thickBot="1">
      <c r="A6" s="514"/>
      <c r="B6" s="515"/>
      <c r="C6" s="3419" t="s">
        <v>2944</v>
      </c>
      <c r="D6" s="3400"/>
      <c r="E6" s="3420" t="s">
        <v>2944</v>
      </c>
      <c r="F6" s="3421"/>
      <c r="G6" s="3419" t="s">
        <v>2944</v>
      </c>
      <c r="H6" s="3400"/>
      <c r="I6" s="3419" t="s">
        <v>2944</v>
      </c>
      <c r="J6" s="3400"/>
      <c r="K6" s="511" t="s">
        <v>529</v>
      </c>
      <c r="L6" s="2131"/>
      <c r="M6" s="2132"/>
      <c r="N6" s="2132"/>
      <c r="O6" s="2132"/>
      <c r="P6" s="3396"/>
      <c r="Q6" s="3397"/>
      <c r="R6" s="3380"/>
      <c r="S6" s="3381"/>
      <c r="T6" s="3382"/>
      <c r="U6" s="3383"/>
      <c r="V6" s="3398"/>
      <c r="W6" s="3398"/>
      <c r="X6" s="1564"/>
      <c r="Y6" s="3382"/>
      <c r="Z6" s="3383"/>
      <c r="AA6" s="3375"/>
      <c r="AB6" s="3375"/>
      <c r="AC6" s="3375"/>
    </row>
    <row r="7" spans="1:29" s="1216" customFormat="1" ht="15.75" thickBot="1">
      <c r="A7" s="2935"/>
      <c r="B7" s="2942" t="s">
        <v>530</v>
      </c>
      <c r="C7" s="516">
        <f>'数据-取费表'!B2</f>
        <v>43123</v>
      </c>
      <c r="D7" s="517">
        <v>100</v>
      </c>
      <c r="E7" s="518"/>
      <c r="F7" s="519">
        <f>SUMIF(46:46,YEAR(E7)&amp;"-"&amp;MONTH(E7),47:47)</f>
        <v>0</v>
      </c>
      <c r="G7" s="520"/>
      <c r="H7" s="517">
        <f>SUMIF(46:46,YEAR(G7)&amp;"-"&amp;MONTH(G7),47:47)</f>
        <v>0</v>
      </c>
      <c r="I7" s="520"/>
      <c r="J7" s="517">
        <f>SUMIF(46:46,YEAR(I7)&amp;"-"&amp;MONTH(I7),47:47)</f>
        <v>0</v>
      </c>
      <c r="K7" s="521"/>
      <c r="L7" s="2133"/>
      <c r="M7" s="2134"/>
      <c r="N7" s="2134"/>
      <c r="O7" s="2134"/>
      <c r="P7" s="3376" t="s">
        <v>531</v>
      </c>
      <c r="Q7" s="3385"/>
      <c r="R7" s="1565" t="s">
        <v>8</v>
      </c>
      <c r="S7" s="1566">
        <f t="shared" ref="S7:S14" si="0">F7</f>
        <v>0</v>
      </c>
      <c r="T7" s="1565" t="s">
        <v>8</v>
      </c>
      <c r="U7" s="1566">
        <f t="shared" ref="U7:U14" si="1">H7</f>
        <v>0</v>
      </c>
      <c r="V7" s="1565" t="s">
        <v>8</v>
      </c>
      <c r="W7" s="1566">
        <f t="shared" ref="W7:W14" si="2">J7</f>
        <v>0</v>
      </c>
      <c r="X7" s="1567"/>
      <c r="Y7" s="3376" t="s">
        <v>531</v>
      </c>
      <c r="Z7" s="3377"/>
      <c r="AA7" s="1568" t="e">
        <f>D7/F7</f>
        <v>#DIV/0!</v>
      </c>
      <c r="AB7" s="1568" t="e">
        <f>D7/H7</f>
        <v>#DIV/0!</v>
      </c>
      <c r="AC7" s="1568" t="e">
        <f>D7/J7</f>
        <v>#DIV/0!</v>
      </c>
    </row>
    <row r="8" spans="1:29" s="1216" customFormat="1" ht="15.75" thickBot="1">
      <c r="A8" s="2936"/>
      <c r="B8" s="2943" t="s">
        <v>532</v>
      </c>
      <c r="C8" s="522" t="s">
        <v>577</v>
      </c>
      <c r="D8" s="517">
        <v>100</v>
      </c>
      <c r="E8" s="522"/>
      <c r="F8" s="519">
        <f>SUMIF(49:49,E8,50:50)-SUMIF(49:49,C8,50:50)+100</f>
        <v>0</v>
      </c>
      <c r="G8" s="522"/>
      <c r="H8" s="517">
        <f>SUMIF(49:49,G8,50:50)-SUMIF(49:49,C8,50:50)+100</f>
        <v>0</v>
      </c>
      <c r="I8" s="522"/>
      <c r="J8" s="517">
        <f>SUMIF(49:49,I8,50:50)-SUMIF(49:49,C8,50:50)+100</f>
        <v>0</v>
      </c>
      <c r="K8" s="521"/>
      <c r="L8" s="2133"/>
      <c r="M8" s="2134"/>
      <c r="N8" s="2134"/>
      <c r="O8" s="2134"/>
      <c r="P8" s="3376" t="s">
        <v>534</v>
      </c>
      <c r="Q8" s="3377"/>
      <c r="R8" s="1565" t="s">
        <v>8</v>
      </c>
      <c r="S8" s="1566">
        <f t="shared" si="0"/>
        <v>0</v>
      </c>
      <c r="T8" s="1565" t="s">
        <v>8</v>
      </c>
      <c r="U8" s="1566">
        <f t="shared" si="1"/>
        <v>0</v>
      </c>
      <c r="V8" s="1565" t="s">
        <v>8</v>
      </c>
      <c r="W8" s="1566">
        <f t="shared" si="2"/>
        <v>0</v>
      </c>
      <c r="X8" s="1567"/>
      <c r="Y8" s="3376" t="s">
        <v>534</v>
      </c>
      <c r="Z8" s="3377"/>
      <c r="AA8" s="1568" t="e">
        <f t="shared" ref="AA8:AA34" si="3">D8/F8</f>
        <v>#DIV/0!</v>
      </c>
      <c r="AB8" s="1568" t="e">
        <f t="shared" ref="AB8:AB34" si="4">D8/H8</f>
        <v>#DIV/0!</v>
      </c>
      <c r="AC8" s="1568" t="e">
        <f t="shared" ref="AC8:AC34" si="5">D8/J8</f>
        <v>#DIV/0!</v>
      </c>
    </row>
    <row r="9" spans="1:29" s="1216" customFormat="1" ht="15">
      <c r="A9" s="2937"/>
      <c r="B9" s="2944" t="s">
        <v>2765</v>
      </c>
      <c r="C9" s="854"/>
      <c r="D9" s="253">
        <v>100</v>
      </c>
      <c r="E9" s="857"/>
      <c r="F9" s="253">
        <f>SUMIF(51:51,E9,52:52)-SUMIF(51:51,C9,52:52)+100</f>
        <v>100</v>
      </c>
      <c r="G9" s="857"/>
      <c r="H9" s="253">
        <f>SUMIF(51:51,G9,52:52)-SUMIF(51:51,C9,52:52)+100</f>
        <v>100</v>
      </c>
      <c r="I9" s="857"/>
      <c r="J9" s="253">
        <f>SUMIF(51:51,I9,52:52)-SUMIF(51:51,C9,52:52)+100</f>
        <v>100</v>
      </c>
      <c r="K9" s="521"/>
      <c r="L9" s="2133"/>
      <c r="M9" s="2134"/>
      <c r="N9" s="2134"/>
      <c r="O9" s="2135"/>
      <c r="P9" s="3384" t="s">
        <v>536</v>
      </c>
      <c r="Q9" s="1147" t="str">
        <f t="shared" ref="Q9:Q14" si="6">B9</f>
        <v>用途</v>
      </c>
      <c r="R9" s="1565" t="s">
        <v>8</v>
      </c>
      <c r="S9" s="1566">
        <f t="shared" si="0"/>
        <v>100</v>
      </c>
      <c r="T9" s="1565" t="s">
        <v>8</v>
      </c>
      <c r="U9" s="1566">
        <f t="shared" si="1"/>
        <v>100</v>
      </c>
      <c r="V9" s="1565" t="s">
        <v>8</v>
      </c>
      <c r="W9" s="1566">
        <f t="shared" si="2"/>
        <v>100</v>
      </c>
      <c r="X9" s="1567"/>
      <c r="Y9" s="3341" t="s">
        <v>537</v>
      </c>
      <c r="Z9" s="1146" t="str">
        <f t="shared" ref="Z9:Z14" si="7">Q9</f>
        <v>用途</v>
      </c>
      <c r="AA9" s="1568">
        <f t="shared" si="3"/>
        <v>1</v>
      </c>
      <c r="AB9" s="1568">
        <f t="shared" si="4"/>
        <v>1</v>
      </c>
      <c r="AC9" s="1568">
        <f t="shared" si="5"/>
        <v>1</v>
      </c>
    </row>
    <row r="10" spans="1:29" s="1334" customFormat="1" ht="27">
      <c r="A10" s="2938"/>
      <c r="B10" s="2943" t="s">
        <v>2766</v>
      </c>
      <c r="C10" s="858"/>
      <c r="D10" s="254">
        <v>100</v>
      </c>
      <c r="E10" s="858"/>
      <c r="F10" s="254">
        <f>SUMIF(53:53,E10,54:54)-SUMIF(53:53,C10,54:54)+100</f>
        <v>100</v>
      </c>
      <c r="G10" s="859"/>
      <c r="H10" s="254">
        <f>SUMIF(53:53,G10,54:54)-SUMIF(53:53,C10,54:54)+100</f>
        <v>100</v>
      </c>
      <c r="I10" s="858"/>
      <c r="J10" s="254">
        <f>SUMIF(53:53,I10,54:54)-SUMIF(53:53,C10,54:54)+100</f>
        <v>100</v>
      </c>
      <c r="K10" s="581"/>
      <c r="L10" s="2136"/>
      <c r="M10" s="2176"/>
      <c r="N10" s="2176"/>
      <c r="O10" s="2137"/>
      <c r="P10" s="3384"/>
      <c r="Q10" s="1147" t="str">
        <f t="shared" si="6"/>
        <v>土地使用年限（年）</v>
      </c>
      <c r="R10" s="1565" t="s">
        <v>8</v>
      </c>
      <c r="S10" s="1566">
        <f t="shared" si="0"/>
        <v>100</v>
      </c>
      <c r="T10" s="1565" t="s">
        <v>8</v>
      </c>
      <c r="U10" s="1566">
        <f t="shared" si="1"/>
        <v>100</v>
      </c>
      <c r="V10" s="1565" t="s">
        <v>8</v>
      </c>
      <c r="W10" s="1566">
        <f t="shared" si="2"/>
        <v>100</v>
      </c>
      <c r="X10" s="1567"/>
      <c r="Y10" s="3341"/>
      <c r="Z10" s="1146" t="str">
        <f t="shared" si="7"/>
        <v>土地使用年限（年）</v>
      </c>
      <c r="AA10" s="1568">
        <f t="shared" si="3"/>
        <v>1</v>
      </c>
      <c r="AB10" s="1568">
        <f t="shared" si="4"/>
        <v>1</v>
      </c>
      <c r="AC10" s="1568">
        <f t="shared" si="5"/>
        <v>1</v>
      </c>
    </row>
    <row r="11" spans="1:29" ht="15">
      <c r="A11" s="2940"/>
      <c r="B11" s="2946">
        <v>111</v>
      </c>
      <c r="C11" s="525"/>
      <c r="D11" s="254">
        <v>100</v>
      </c>
      <c r="E11" s="876"/>
      <c r="F11" s="254">
        <f>SUMIF(55:55,E11,56:56)-SUMIF(55:55,C11,56:56)+100</f>
        <v>100</v>
      </c>
      <c r="G11" s="876"/>
      <c r="H11" s="254">
        <f>SUMIF(55:55,G11,56:56)-SUMIF(55:55,C11,56:56)+100</f>
        <v>100</v>
      </c>
      <c r="I11" s="876"/>
      <c r="J11" s="254">
        <f>SUMIF(55:55,I11,56:56)-SUMIF(55:55,C11,56:56)+100</f>
        <v>100</v>
      </c>
      <c r="K11" s="578"/>
      <c r="L11" s="2138"/>
      <c r="M11" s="2132"/>
      <c r="N11" s="2132"/>
      <c r="O11" s="2139"/>
      <c r="P11" s="3384"/>
      <c r="Q11" s="1147">
        <f t="shared" si="6"/>
        <v>111</v>
      </c>
      <c r="R11" s="1565" t="s">
        <v>8</v>
      </c>
      <c r="S11" s="1566">
        <f t="shared" si="0"/>
        <v>100</v>
      </c>
      <c r="T11" s="1565" t="s">
        <v>8</v>
      </c>
      <c r="U11" s="1566">
        <f t="shared" si="1"/>
        <v>100</v>
      </c>
      <c r="V11" s="1565" t="s">
        <v>8</v>
      </c>
      <c r="W11" s="1566">
        <f t="shared" si="2"/>
        <v>100</v>
      </c>
      <c r="X11" s="1567"/>
      <c r="Y11" s="3341"/>
      <c r="Z11" s="1146">
        <f t="shared" si="7"/>
        <v>111</v>
      </c>
      <c r="AA11" s="1568">
        <f t="shared" si="3"/>
        <v>1</v>
      </c>
      <c r="AB11" s="1568">
        <f t="shared" si="4"/>
        <v>1</v>
      </c>
      <c r="AC11" s="1568">
        <f t="shared" si="5"/>
        <v>1</v>
      </c>
    </row>
    <row r="12" spans="1:29" s="1216" customFormat="1" ht="15">
      <c r="A12" s="2940"/>
      <c r="B12" s="2946">
        <v>111</v>
      </c>
      <c r="C12" s="525"/>
      <c r="D12" s="535">
        <v>100</v>
      </c>
      <c r="E12" s="876"/>
      <c r="F12" s="254">
        <f>SUMIF(57:57,E12,58:58)-SUMIF(57:57,C12,58:58)+100</f>
        <v>100</v>
      </c>
      <c r="G12" s="876"/>
      <c r="H12" s="254">
        <f>SUMIF(57:57,G12,58:58)-SUMIF(57:57,C12,58:58)+100</f>
        <v>100</v>
      </c>
      <c r="I12" s="876"/>
      <c r="J12" s="254">
        <f>SUMIF(57:57,I12,58:58)-SUMIF(57:57,C12,58:58)+100</f>
        <v>100</v>
      </c>
      <c r="K12" s="578"/>
      <c r="L12" s="2133"/>
      <c r="M12" s="2134"/>
      <c r="N12" s="2134"/>
      <c r="O12" s="2135"/>
      <c r="P12" s="3384"/>
      <c r="Q12" s="1147">
        <f t="shared" si="6"/>
        <v>111</v>
      </c>
      <c r="R12" s="1565" t="s">
        <v>8</v>
      </c>
      <c r="S12" s="1566">
        <f t="shared" si="0"/>
        <v>100</v>
      </c>
      <c r="T12" s="1565" t="s">
        <v>8</v>
      </c>
      <c r="U12" s="1566">
        <f t="shared" si="1"/>
        <v>100</v>
      </c>
      <c r="V12" s="1565" t="s">
        <v>8</v>
      </c>
      <c r="W12" s="1566">
        <f t="shared" si="2"/>
        <v>100</v>
      </c>
      <c r="X12" s="1567"/>
      <c r="Y12" s="3341"/>
      <c r="Z12" s="1146">
        <f t="shared" si="7"/>
        <v>111</v>
      </c>
      <c r="AA12" s="1568">
        <f>D12/F12</f>
        <v>1</v>
      </c>
      <c r="AB12" s="1568">
        <f>D12/H12</f>
        <v>1</v>
      </c>
      <c r="AC12" s="1568">
        <f>D12/J12</f>
        <v>1</v>
      </c>
    </row>
    <row r="13" spans="1:29" ht="15.75" thickBot="1">
      <c r="A13" s="2941"/>
      <c r="B13" s="2947">
        <v>111</v>
      </c>
      <c r="C13" s="536"/>
      <c r="D13" s="537">
        <v>100</v>
      </c>
      <c r="E13" s="876"/>
      <c r="F13" s="254">
        <f>SUMIF(59:59,E13,60:60)-SUMIF(59:59,C13,60:60)+100</f>
        <v>100</v>
      </c>
      <c r="G13" s="876"/>
      <c r="H13" s="537">
        <f>SUMIF(59:59,G13,60:60)-SUMIF(59:59,C13,60:60)+100</f>
        <v>100</v>
      </c>
      <c r="I13" s="876"/>
      <c r="J13" s="537">
        <f>SUMIF(59:59,I13,60:60)-SUMIF(59:59,C13,60:60)+100</f>
        <v>100</v>
      </c>
      <c r="K13" s="578"/>
      <c r="L13" s="2140"/>
      <c r="M13" s="2132"/>
      <c r="N13" s="2132"/>
      <c r="O13" s="2139"/>
      <c r="P13" s="3384"/>
      <c r="Q13" s="1147">
        <f t="shared" si="6"/>
        <v>111</v>
      </c>
      <c r="R13" s="1565" t="s">
        <v>8</v>
      </c>
      <c r="S13" s="1566">
        <f t="shared" si="0"/>
        <v>100</v>
      </c>
      <c r="T13" s="1565" t="s">
        <v>8</v>
      </c>
      <c r="U13" s="1566">
        <f t="shared" si="1"/>
        <v>100</v>
      </c>
      <c r="V13" s="1565" t="s">
        <v>8</v>
      </c>
      <c r="W13" s="1566">
        <f t="shared" si="2"/>
        <v>100</v>
      </c>
      <c r="X13" s="1567"/>
      <c r="Y13" s="3341"/>
      <c r="Z13" s="1146">
        <f t="shared" si="7"/>
        <v>111</v>
      </c>
      <c r="AA13" s="1568">
        <f t="shared" si="3"/>
        <v>1</v>
      </c>
      <c r="AB13" s="1568">
        <f t="shared" si="4"/>
        <v>1</v>
      </c>
      <c r="AC13" s="1568">
        <f t="shared" si="5"/>
        <v>1</v>
      </c>
    </row>
    <row r="14" spans="1:29" ht="85.5">
      <c r="A14" s="2933" t="s">
        <v>2763</v>
      </c>
      <c r="B14" s="166" t="s">
        <v>544</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40"/>
      <c r="M14" s="2132"/>
      <c r="N14" s="2132"/>
      <c r="O14" s="2139"/>
      <c r="P14" s="3386" t="s">
        <v>541</v>
      </c>
      <c r="Q14" s="1569" t="str">
        <f t="shared" si="6"/>
        <v>交通便捷度</v>
      </c>
      <c r="R14" s="1570" t="s">
        <v>8</v>
      </c>
      <c r="S14" s="1571">
        <f t="shared" si="0"/>
        <v>100</v>
      </c>
      <c r="T14" s="1570" t="s">
        <v>8</v>
      </c>
      <c r="U14" s="1571">
        <f t="shared" si="1"/>
        <v>100</v>
      </c>
      <c r="V14" s="1570" t="s">
        <v>8</v>
      </c>
      <c r="W14" s="1571">
        <f t="shared" si="2"/>
        <v>100</v>
      </c>
      <c r="X14" s="1564"/>
      <c r="Y14" s="3386" t="s">
        <v>541</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5"/>
      <c r="L15" s="2140"/>
      <c r="M15" s="2132"/>
      <c r="N15" s="2132"/>
      <c r="O15" s="2139"/>
      <c r="P15" s="3387"/>
      <c r="Q15" s="1569"/>
      <c r="R15" s="1570"/>
      <c r="S15" s="1571"/>
      <c r="T15" s="1570"/>
      <c r="U15" s="1571"/>
      <c r="V15" s="1570"/>
      <c r="W15" s="1571"/>
      <c r="X15" s="1564"/>
      <c r="Y15" s="3387"/>
      <c r="Z15" s="1572"/>
      <c r="AA15" s="1573">
        <v>1</v>
      </c>
      <c r="AB15" s="1573">
        <v>1</v>
      </c>
      <c r="AC15" s="1573">
        <v>1</v>
      </c>
    </row>
    <row r="16" spans="1:29" ht="42.75">
      <c r="A16" s="529"/>
      <c r="B16" s="2625" t="s">
        <v>2553</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40"/>
      <c r="M16" s="2132"/>
      <c r="N16" s="2132"/>
      <c r="O16" s="2139"/>
      <c r="P16" s="3387"/>
      <c r="Q16" s="1569" t="str">
        <f>B16</f>
        <v>公共配套设施</v>
      </c>
      <c r="R16" s="1570" t="s">
        <v>8</v>
      </c>
      <c r="S16" s="1571">
        <f>F16</f>
        <v>100</v>
      </c>
      <c r="T16" s="1570" t="s">
        <v>8</v>
      </c>
      <c r="U16" s="1571">
        <f>H16</f>
        <v>100</v>
      </c>
      <c r="V16" s="1570" t="s">
        <v>8</v>
      </c>
      <c r="W16" s="1571">
        <f>J16</f>
        <v>100</v>
      </c>
      <c r="X16" s="1564"/>
      <c r="Y16" s="3387"/>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5"/>
      <c r="L17" s="2140"/>
      <c r="M17" s="2132"/>
      <c r="N17" s="2132"/>
      <c r="O17" s="2139"/>
      <c r="P17" s="3387"/>
      <c r="Q17" s="1569"/>
      <c r="R17" s="1570"/>
      <c r="S17" s="1571"/>
      <c r="T17" s="1570"/>
      <c r="U17" s="1571"/>
      <c r="V17" s="1570"/>
      <c r="W17" s="1571"/>
      <c r="X17" s="1564"/>
      <c r="Y17" s="3387"/>
      <c r="Z17" s="1572"/>
      <c r="AA17" s="1573">
        <v>1</v>
      </c>
      <c r="AB17" s="1573">
        <v>1</v>
      </c>
      <c r="AC17" s="1573">
        <v>1</v>
      </c>
    </row>
    <row r="18" spans="1:29" ht="28.5">
      <c r="A18" s="529"/>
      <c r="B18" s="2613" t="s">
        <v>2565</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40"/>
      <c r="M18" s="2132"/>
      <c r="N18" s="2132"/>
      <c r="O18" s="2139"/>
      <c r="P18" s="3387"/>
      <c r="Q18" s="2601" t="str">
        <f>B18</f>
        <v>基础设施水平</v>
      </c>
      <c r="R18" s="1570" t="s">
        <v>8</v>
      </c>
      <c r="S18" s="1571">
        <f>F18</f>
        <v>100</v>
      </c>
      <c r="T18" s="1570" t="s">
        <v>8</v>
      </c>
      <c r="U18" s="1571">
        <f>H18</f>
        <v>100</v>
      </c>
      <c r="V18" s="1570" t="s">
        <v>8</v>
      </c>
      <c r="W18" s="1571">
        <f>J18</f>
        <v>100</v>
      </c>
      <c r="X18" s="2603"/>
      <c r="Y18" s="3387"/>
      <c r="Z18" s="2602"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4"/>
      <c r="L19" s="2140"/>
      <c r="M19" s="2132"/>
      <c r="N19" s="2132"/>
      <c r="O19" s="2139"/>
      <c r="P19" s="3387"/>
      <c r="Q19" s="2601"/>
      <c r="R19" s="1570"/>
      <c r="S19" s="1571"/>
      <c r="T19" s="1570"/>
      <c r="U19" s="1571"/>
      <c r="V19" s="1570"/>
      <c r="W19" s="1571"/>
      <c r="X19" s="2603"/>
      <c r="Y19" s="3387"/>
      <c r="Z19" s="2602"/>
      <c r="AA19" s="1573">
        <v>1</v>
      </c>
      <c r="AB19" s="1573">
        <v>1</v>
      </c>
      <c r="AC19" s="1573">
        <v>1</v>
      </c>
    </row>
    <row r="20" spans="1:29" ht="57">
      <c r="A20" s="529"/>
      <c r="B20" s="868" t="s">
        <v>805</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40"/>
      <c r="M20" s="2132"/>
      <c r="N20" s="2132"/>
      <c r="O20" s="2139"/>
      <c r="P20" s="3387"/>
      <c r="Q20" s="1569" t="str">
        <f>B20</f>
        <v>自然及人文环境</v>
      </c>
      <c r="R20" s="1570" t="s">
        <v>8</v>
      </c>
      <c r="S20" s="1571">
        <f>F20</f>
        <v>100</v>
      </c>
      <c r="T20" s="1570" t="s">
        <v>8</v>
      </c>
      <c r="U20" s="1571">
        <f>H20</f>
        <v>100</v>
      </c>
      <c r="V20" s="1570" t="s">
        <v>8</v>
      </c>
      <c r="W20" s="1571">
        <f>J20</f>
        <v>100</v>
      </c>
      <c r="X20" s="1564"/>
      <c r="Y20" s="3387"/>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5"/>
      <c r="L21" s="2140"/>
      <c r="M21" s="2132"/>
      <c r="N21" s="2132"/>
      <c r="O21" s="2139"/>
      <c r="P21" s="3387"/>
      <c r="Q21" s="1569"/>
      <c r="R21" s="1570"/>
      <c r="S21" s="1571"/>
      <c r="T21" s="1570"/>
      <c r="U21" s="1571"/>
      <c r="V21" s="1570"/>
      <c r="W21" s="1571"/>
      <c r="X21" s="1564"/>
      <c r="Y21" s="3387"/>
      <c r="Z21" s="1572"/>
      <c r="AA21" s="1573">
        <v>1</v>
      </c>
      <c r="AB21" s="1573">
        <v>1</v>
      </c>
      <c r="AC21" s="1573">
        <v>1</v>
      </c>
    </row>
    <row r="22" spans="1:29" ht="15">
      <c r="A22" s="529"/>
      <c r="B22" s="868" t="s">
        <v>806</v>
      </c>
      <c r="C22" s="580"/>
      <c r="D22" s="556">
        <v>100</v>
      </c>
      <c r="E22" s="580"/>
      <c r="F22" s="572">
        <f>SUMIF(69:69,E22,70:70)-SUMIF(69:69,C22,70:70)+100</f>
        <v>100</v>
      </c>
      <c r="G22" s="580"/>
      <c r="H22" s="537">
        <f>SUMIF(69:69,G22,70:70)-SUMIF(69:69,C22,70:70)+100</f>
        <v>100</v>
      </c>
      <c r="I22" s="580"/>
      <c r="J22" s="537">
        <f>SUMIF(69:69,I22,70:70)-SUMIF(69:69,C22,70:70)+100</f>
        <v>100</v>
      </c>
      <c r="K22" s="581"/>
      <c r="L22" s="2140"/>
      <c r="M22" s="2132"/>
      <c r="N22" s="2132"/>
      <c r="O22" s="2139"/>
      <c r="P22" s="3387"/>
      <c r="Q22" s="1569" t="str">
        <f>B22</f>
        <v>楼层</v>
      </c>
      <c r="R22" s="1570" t="s">
        <v>8</v>
      </c>
      <c r="S22" s="1571">
        <f>F22</f>
        <v>100</v>
      </c>
      <c r="T22" s="1570" t="s">
        <v>8</v>
      </c>
      <c r="U22" s="1571">
        <f>H22</f>
        <v>100</v>
      </c>
      <c r="V22" s="1570" t="s">
        <v>8</v>
      </c>
      <c r="W22" s="1571">
        <f>J22</f>
        <v>100</v>
      </c>
      <c r="X22" s="1564"/>
      <c r="Y22" s="3387"/>
      <c r="Z22" s="1572" t="str">
        <f>Q22</f>
        <v>楼层</v>
      </c>
      <c r="AA22" s="1573">
        <f t="shared" si="3"/>
        <v>1</v>
      </c>
      <c r="AB22" s="1573">
        <f t="shared" si="4"/>
        <v>1</v>
      </c>
      <c r="AC22" s="1573">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0"/>
      <c r="M23" s="2132"/>
      <c r="N23" s="2132"/>
      <c r="O23" s="2139"/>
      <c r="P23" s="3387"/>
      <c r="Q23" s="1569">
        <f>B23</f>
        <v>111</v>
      </c>
      <c r="R23" s="1570" t="s">
        <v>8</v>
      </c>
      <c r="S23" s="1571">
        <f>F23</f>
        <v>100</v>
      </c>
      <c r="T23" s="1570" t="s">
        <v>8</v>
      </c>
      <c r="U23" s="1571">
        <f>H23</f>
        <v>100</v>
      </c>
      <c r="V23" s="1570" t="s">
        <v>8</v>
      </c>
      <c r="W23" s="1571">
        <f>J23</f>
        <v>100</v>
      </c>
      <c r="X23" s="1564"/>
      <c r="Y23" s="3387"/>
      <c r="Z23" s="1572">
        <f>Q23</f>
        <v>111</v>
      </c>
      <c r="AA23" s="1573">
        <f t="shared" si="3"/>
        <v>1</v>
      </c>
      <c r="AB23" s="1573">
        <f t="shared" si="4"/>
        <v>1</v>
      </c>
      <c r="AC23" s="1573">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0"/>
      <c r="M24" s="2132"/>
      <c r="N24" s="2132"/>
      <c r="O24" s="2139"/>
      <c r="P24" s="3387"/>
      <c r="Q24" s="1569">
        <f t="shared" ref="Q24:Q34" si="11">B24</f>
        <v>111</v>
      </c>
      <c r="R24" s="1570" t="s">
        <v>8</v>
      </c>
      <c r="S24" s="1571">
        <f>F24</f>
        <v>100</v>
      </c>
      <c r="T24" s="1570" t="s">
        <v>8</v>
      </c>
      <c r="U24" s="1571">
        <f>H24</f>
        <v>100</v>
      </c>
      <c r="V24" s="1570" t="s">
        <v>8</v>
      </c>
      <c r="W24" s="1571">
        <f>J24</f>
        <v>100</v>
      </c>
      <c r="X24" s="1564"/>
      <c r="Y24" s="3387"/>
      <c r="Z24" s="1572">
        <f>Q24</f>
        <v>111</v>
      </c>
      <c r="AA24" s="1573">
        <f t="shared" si="3"/>
        <v>1</v>
      </c>
      <c r="AB24" s="1573">
        <f t="shared" si="4"/>
        <v>1</v>
      </c>
      <c r="AC24" s="1573">
        <f t="shared" si="5"/>
        <v>1</v>
      </c>
    </row>
    <row r="25" spans="1:29" s="1216"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33"/>
      <c r="M25" s="2134"/>
      <c r="N25" s="2134"/>
      <c r="O25" s="2135"/>
      <c r="P25" s="3387"/>
      <c r="Q25" s="1147">
        <f t="shared" si="11"/>
        <v>111</v>
      </c>
      <c r="R25" s="1565" t="s">
        <v>8</v>
      </c>
      <c r="S25" s="1566">
        <f>F25</f>
        <v>100</v>
      </c>
      <c r="T25" s="1565" t="s">
        <v>8</v>
      </c>
      <c r="U25" s="1566">
        <f>H25</f>
        <v>100</v>
      </c>
      <c r="V25" s="1565" t="s">
        <v>8</v>
      </c>
      <c r="W25" s="1566">
        <f>J25</f>
        <v>100</v>
      </c>
      <c r="X25" s="1567"/>
      <c r="Y25" s="3387"/>
      <c r="Z25" s="1146">
        <f>Q25</f>
        <v>111</v>
      </c>
      <c r="AA25" s="1573">
        <f>D25/F25</f>
        <v>1</v>
      </c>
      <c r="AB25" s="1573">
        <f>D25/H25</f>
        <v>1</v>
      </c>
      <c r="AC25" s="1573">
        <f>D25/J25</f>
        <v>1</v>
      </c>
    </row>
    <row r="26" spans="1:29" ht="15">
      <c r="A26" s="2931" t="s">
        <v>2764</v>
      </c>
      <c r="B26" s="172" t="s">
        <v>809</v>
      </c>
      <c r="C26" s="912"/>
      <c r="D26" s="594">
        <v>100</v>
      </c>
      <c r="E26" s="912"/>
      <c r="F26" s="939">
        <f>SUMIF(77:77,E26,78:78)-SUMIF(77:77,C26,78:78)+100</f>
        <v>100</v>
      </c>
      <c r="G26" s="912"/>
      <c r="H26" s="594">
        <f>SUMIF(77:77,G26,78:78)-SUMIF(77:77,C26,78:78)+100</f>
        <v>100</v>
      </c>
      <c r="I26" s="912"/>
      <c r="J26" s="594">
        <f>SUMIF(77:77,I26,78:78)-SUMIF(77:77,C26,78:78)+100</f>
        <v>100</v>
      </c>
      <c r="K26" s="581"/>
      <c r="L26" s="2140"/>
      <c r="M26" s="2132"/>
      <c r="N26" s="2132"/>
      <c r="O26" s="2139"/>
      <c r="P26" s="3388"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89" t="s">
        <v>822</v>
      </c>
      <c r="Z26" s="1572" t="str">
        <f t="shared" ref="Z26:Z34" si="15">Q26</f>
        <v>公共部分装修</v>
      </c>
      <c r="AA26" s="1573">
        <f t="shared" si="3"/>
        <v>1</v>
      </c>
      <c r="AB26" s="1573">
        <f t="shared" si="4"/>
        <v>1</v>
      </c>
      <c r="AC26" s="1573">
        <f t="shared" si="5"/>
        <v>1</v>
      </c>
    </row>
    <row r="27" spans="1:29" s="1335" customFormat="1" ht="15">
      <c r="A27" s="600"/>
      <c r="B27" s="524" t="s">
        <v>810</v>
      </c>
      <c r="C27" s="879"/>
      <c r="D27" s="254">
        <v>100</v>
      </c>
      <c r="E27" s="880"/>
      <c r="F27" s="572" t="e">
        <f>LOOKUP(E27,80:80,81:81)-LOOKUP(C27,80:80,81:81)+100</f>
        <v>#N/A</v>
      </c>
      <c r="G27" s="881"/>
      <c r="H27" s="537" t="e">
        <f>LOOKUP(G27,80:80,81:81)-LOOKUP(C27,80:80,81:81)+100</f>
        <v>#N/A</v>
      </c>
      <c r="I27" s="881"/>
      <c r="J27" s="537" t="e">
        <f>LOOKUP(I27,80:80,81:81)-LOOKUP(C27,80:80,81:81)+100</f>
        <v>#N/A</v>
      </c>
      <c r="K27" s="581"/>
      <c r="L27" s="2138"/>
      <c r="M27" s="2169"/>
      <c r="N27" s="2169"/>
      <c r="O27" s="2141"/>
      <c r="P27" s="3389"/>
      <c r="Q27" s="1602" t="str">
        <f t="shared" si="11"/>
        <v>成新率</v>
      </c>
      <c r="R27" s="1574" t="s">
        <v>8</v>
      </c>
      <c r="S27" s="1575" t="e">
        <f t="shared" si="12"/>
        <v>#N/A</v>
      </c>
      <c r="T27" s="1574" t="s">
        <v>8</v>
      </c>
      <c r="U27" s="1575" t="e">
        <f t="shared" si="13"/>
        <v>#N/A</v>
      </c>
      <c r="V27" s="1574" t="s">
        <v>8</v>
      </c>
      <c r="W27" s="1575" t="e">
        <f t="shared" si="14"/>
        <v>#N/A</v>
      </c>
      <c r="X27" s="1576"/>
      <c r="Y27" s="3389"/>
      <c r="Z27" s="1577" t="str">
        <f t="shared" si="15"/>
        <v>成新率</v>
      </c>
      <c r="AA27" s="1573" t="e">
        <f t="shared" si="3"/>
        <v>#N/A</v>
      </c>
      <c r="AB27" s="1573" t="e">
        <f t="shared" si="4"/>
        <v>#N/A</v>
      </c>
      <c r="AC27" s="1573" t="e">
        <f t="shared" si="5"/>
        <v>#N/A</v>
      </c>
    </row>
    <row r="28" spans="1:29" ht="15">
      <c r="A28" s="591"/>
      <c r="B28" s="524" t="s">
        <v>811</v>
      </c>
      <c r="C28" s="571"/>
      <c r="D28" s="537">
        <v>100</v>
      </c>
      <c r="E28" s="571"/>
      <c r="F28" s="572">
        <f>SUMIF(82:82,E28,83:83)-SUMIF(82:82,C28,83:83)+100</f>
        <v>100</v>
      </c>
      <c r="G28" s="571"/>
      <c r="H28" s="537">
        <f>SUMIF(82:82,G28,83:83)-SUMIF(82:82,C28,83:83)+100</f>
        <v>100</v>
      </c>
      <c r="I28" s="571"/>
      <c r="J28" s="537">
        <f>SUMIF(82:82,I28,83:83)-SUMIF(82:82,C28,83:83)+100</f>
        <v>100</v>
      </c>
      <c r="K28" s="581"/>
      <c r="L28" s="2140"/>
      <c r="M28" s="2132"/>
      <c r="N28" s="2132"/>
      <c r="O28" s="2139"/>
      <c r="P28" s="3389"/>
      <c r="Q28" s="1569" t="str">
        <f t="shared" si="11"/>
        <v>物业等级</v>
      </c>
      <c r="R28" s="1570" t="s">
        <v>8</v>
      </c>
      <c r="S28" s="1571">
        <f t="shared" si="12"/>
        <v>100</v>
      </c>
      <c r="T28" s="1570" t="s">
        <v>8</v>
      </c>
      <c r="U28" s="1571">
        <f t="shared" si="13"/>
        <v>100</v>
      </c>
      <c r="V28" s="1570" t="s">
        <v>8</v>
      </c>
      <c r="W28" s="1571">
        <f t="shared" si="14"/>
        <v>100</v>
      </c>
      <c r="X28" s="1564"/>
      <c r="Y28" s="3389"/>
      <c r="Z28" s="1572" t="str">
        <f t="shared" si="15"/>
        <v>物业等级</v>
      </c>
      <c r="AA28" s="1573">
        <f t="shared" si="3"/>
        <v>1</v>
      </c>
      <c r="AB28" s="1573">
        <f t="shared" si="4"/>
        <v>1</v>
      </c>
      <c r="AC28" s="1573">
        <f t="shared" si="5"/>
        <v>1</v>
      </c>
    </row>
    <row r="29" spans="1:29" ht="15">
      <c r="A29" s="591"/>
      <c r="B29" s="524" t="s">
        <v>823</v>
      </c>
      <c r="C29" s="928"/>
      <c r="D29" s="537">
        <v>100</v>
      </c>
      <c r="E29" s="928"/>
      <c r="F29" s="572">
        <f>SUMIF(84:84,E29,85:85)-SUMIF(84:84,C29,85:85)+100</f>
        <v>100</v>
      </c>
      <c r="G29" s="928"/>
      <c r="H29" s="537">
        <f>SUMIF(84:84,G29,85:85)-SUMIF(84:84,C29,85:85)+100</f>
        <v>100</v>
      </c>
      <c r="I29" s="928"/>
      <c r="J29" s="537">
        <f>SUMIF(84:84,I29,85:85)-SUMIF(84:84,C29,85:85)+100</f>
        <v>100</v>
      </c>
      <c r="K29" s="581"/>
      <c r="L29" s="2140"/>
      <c r="M29" s="2132"/>
      <c r="N29" s="2132"/>
      <c r="O29" s="2139"/>
      <c r="P29" s="3389"/>
      <c r="Q29" s="1569" t="str">
        <f t="shared" si="11"/>
        <v>有无电梯</v>
      </c>
      <c r="R29" s="1570" t="s">
        <v>8</v>
      </c>
      <c r="S29" s="1571">
        <f t="shared" si="12"/>
        <v>100</v>
      </c>
      <c r="T29" s="1570" t="s">
        <v>8</v>
      </c>
      <c r="U29" s="1571">
        <f t="shared" si="13"/>
        <v>100</v>
      </c>
      <c r="V29" s="1570" t="s">
        <v>8</v>
      </c>
      <c r="W29" s="1571">
        <f t="shared" si="14"/>
        <v>100</v>
      </c>
      <c r="X29" s="1564"/>
      <c r="Y29" s="3389"/>
      <c r="Z29" s="1572" t="str">
        <f t="shared" si="15"/>
        <v>有无电梯</v>
      </c>
      <c r="AA29" s="1573">
        <f t="shared" si="3"/>
        <v>1</v>
      </c>
      <c r="AB29" s="1573">
        <f t="shared" si="4"/>
        <v>1</v>
      </c>
      <c r="AC29" s="1573">
        <f t="shared" si="5"/>
        <v>1</v>
      </c>
    </row>
    <row r="30" spans="1:29" ht="15">
      <c r="A30" s="591"/>
      <c r="B30" s="524" t="s">
        <v>824</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40"/>
      <c r="M30" s="2132"/>
      <c r="N30" s="2132"/>
      <c r="O30" s="2139"/>
      <c r="P30" s="3389"/>
      <c r="Q30" s="1569" t="str">
        <f t="shared" si="11"/>
        <v>建筑面积</v>
      </c>
      <c r="R30" s="1570" t="s">
        <v>8</v>
      </c>
      <c r="S30" s="1571" t="e">
        <f t="shared" si="12"/>
        <v>#N/A</v>
      </c>
      <c r="T30" s="1570" t="s">
        <v>8</v>
      </c>
      <c r="U30" s="1571" t="e">
        <f t="shared" si="13"/>
        <v>#N/A</v>
      </c>
      <c r="V30" s="1570" t="s">
        <v>8</v>
      </c>
      <c r="W30" s="1571" t="e">
        <f t="shared" si="14"/>
        <v>#N/A</v>
      </c>
      <c r="X30" s="1564"/>
      <c r="Y30" s="3389"/>
      <c r="Z30" s="1572" t="str">
        <f t="shared" si="15"/>
        <v>建筑面积</v>
      </c>
      <c r="AA30" s="1573" t="e">
        <f t="shared" si="3"/>
        <v>#N/A</v>
      </c>
      <c r="AB30" s="1573" t="e">
        <f t="shared" si="4"/>
        <v>#N/A</v>
      </c>
      <c r="AC30" s="1573" t="e">
        <f t="shared" si="5"/>
        <v>#N/A</v>
      </c>
    </row>
    <row r="31" spans="1:29" s="1216" customFormat="1" ht="15">
      <c r="A31" s="597"/>
      <c r="B31" s="524" t="s">
        <v>825</v>
      </c>
      <c r="C31" s="928"/>
      <c r="D31" s="254">
        <v>100</v>
      </c>
      <c r="E31" s="928"/>
      <c r="F31" s="572">
        <f>SUMIF(89:89,E31,90:90)-SUMIF(89:89,C31,90:90)+100</f>
        <v>100</v>
      </c>
      <c r="G31" s="928"/>
      <c r="H31" s="537">
        <f>SUMIF(89:89,G31,90:90)-SUMIF(89:89,C31,90:90)+100</f>
        <v>100</v>
      </c>
      <c r="I31" s="928"/>
      <c r="J31" s="537">
        <f>SUMIF(89:89,I31,90:90)-SUMIF(89:89,C31,90:90)+100</f>
        <v>100</v>
      </c>
      <c r="K31" s="581"/>
      <c r="L31" s="2133"/>
      <c r="M31" s="2134"/>
      <c r="N31" s="2134"/>
      <c r="O31" s="2135"/>
      <c r="P31" s="3389"/>
      <c r="Q31" s="1147" t="str">
        <f t="shared" si="11"/>
        <v>是否封闭</v>
      </c>
      <c r="R31" s="1565" t="s">
        <v>8</v>
      </c>
      <c r="S31" s="1566">
        <f t="shared" si="12"/>
        <v>100</v>
      </c>
      <c r="T31" s="1565" t="s">
        <v>8</v>
      </c>
      <c r="U31" s="1566">
        <f t="shared" si="13"/>
        <v>100</v>
      </c>
      <c r="V31" s="1565" t="s">
        <v>8</v>
      </c>
      <c r="W31" s="1566">
        <f t="shared" si="14"/>
        <v>100</v>
      </c>
      <c r="X31" s="1567"/>
      <c r="Y31" s="3389"/>
      <c r="Z31" s="1146" t="str">
        <f t="shared" si="15"/>
        <v>是否封闭</v>
      </c>
      <c r="AA31" s="1568">
        <f t="shared" si="3"/>
        <v>1</v>
      </c>
      <c r="AB31" s="1568">
        <f t="shared" si="4"/>
        <v>1</v>
      </c>
      <c r="AC31" s="1568">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40"/>
      <c r="M32" s="2132"/>
      <c r="N32" s="2132"/>
      <c r="O32" s="2139"/>
      <c r="P32" s="3389" t="s">
        <v>551</v>
      </c>
      <c r="Q32" s="1569">
        <f t="shared" si="11"/>
        <v>111</v>
      </c>
      <c r="R32" s="1570" t="s">
        <v>8</v>
      </c>
      <c r="S32" s="1571">
        <f t="shared" si="12"/>
        <v>100</v>
      </c>
      <c r="T32" s="1570" t="s">
        <v>8</v>
      </c>
      <c r="U32" s="1571">
        <f t="shared" si="13"/>
        <v>100</v>
      </c>
      <c r="V32" s="1570" t="s">
        <v>8</v>
      </c>
      <c r="W32" s="1571">
        <f t="shared" si="14"/>
        <v>100</v>
      </c>
      <c r="X32" s="1564"/>
      <c r="Y32" s="3389" t="s">
        <v>551</v>
      </c>
      <c r="Z32" s="1572">
        <f t="shared" si="15"/>
        <v>111</v>
      </c>
      <c r="AA32" s="1573">
        <f t="shared" si="3"/>
        <v>1</v>
      </c>
      <c r="AB32" s="1573">
        <f t="shared" si="4"/>
        <v>1</v>
      </c>
      <c r="AC32" s="1573">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40"/>
      <c r="M33" s="2132"/>
      <c r="N33" s="2132"/>
      <c r="O33" s="2139"/>
      <c r="P33" s="3389"/>
      <c r="Q33" s="1569">
        <f t="shared" si="11"/>
        <v>111</v>
      </c>
      <c r="R33" s="1570" t="s">
        <v>8</v>
      </c>
      <c r="S33" s="1571">
        <f t="shared" si="12"/>
        <v>100</v>
      </c>
      <c r="T33" s="1570" t="s">
        <v>8</v>
      </c>
      <c r="U33" s="1571">
        <f t="shared" si="13"/>
        <v>100</v>
      </c>
      <c r="V33" s="1570" t="s">
        <v>8</v>
      </c>
      <c r="W33" s="1571">
        <f t="shared" si="14"/>
        <v>100</v>
      </c>
      <c r="X33" s="1564"/>
      <c r="Y33" s="3389"/>
      <c r="Z33" s="1572">
        <f t="shared" si="15"/>
        <v>111</v>
      </c>
      <c r="AA33" s="1573">
        <f t="shared" si="3"/>
        <v>1</v>
      </c>
      <c r="AB33" s="1573">
        <f t="shared" si="4"/>
        <v>1</v>
      </c>
      <c r="AC33" s="1573">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40"/>
      <c r="M34" s="2132"/>
      <c r="N34" s="2132"/>
      <c r="O34" s="2139"/>
      <c r="P34" s="3389"/>
      <c r="Q34" s="1569">
        <f t="shared" si="11"/>
        <v>111</v>
      </c>
      <c r="R34" s="1570" t="s">
        <v>8</v>
      </c>
      <c r="S34" s="1571">
        <f t="shared" si="12"/>
        <v>100</v>
      </c>
      <c r="T34" s="1570" t="s">
        <v>8</v>
      </c>
      <c r="U34" s="1571">
        <f t="shared" si="13"/>
        <v>100</v>
      </c>
      <c r="V34" s="1570" t="s">
        <v>8</v>
      </c>
      <c r="W34" s="1571">
        <f t="shared" si="14"/>
        <v>100</v>
      </c>
      <c r="X34" s="1564"/>
      <c r="Y34" s="3389"/>
      <c r="Z34" s="1572">
        <f t="shared" si="15"/>
        <v>111</v>
      </c>
      <c r="AA34" s="1573">
        <f t="shared" si="3"/>
        <v>1</v>
      </c>
      <c r="AB34" s="1573">
        <f t="shared" si="4"/>
        <v>1</v>
      </c>
      <c r="AC34" s="1573">
        <f t="shared" si="5"/>
        <v>1</v>
      </c>
    </row>
    <row r="35" spans="1:29" ht="15">
      <c r="A35" s="604" t="s">
        <v>737</v>
      </c>
      <c r="B35" s="883"/>
      <c r="C35" s="2649" t="s">
        <v>1</v>
      </c>
      <c r="D35" s="2650"/>
      <c r="E35" s="2651"/>
      <c r="F35" s="2652"/>
      <c r="G35" s="2653"/>
      <c r="H35" s="2654"/>
      <c r="I35" s="2651"/>
      <c r="J35" s="2654"/>
      <c r="K35" s="1608"/>
      <c r="L35" s="2142"/>
      <c r="M35" s="2143"/>
      <c r="N35" s="2132"/>
      <c r="O35" s="2143"/>
      <c r="P35" s="3384" t="str">
        <f>A35</f>
        <v>成交单价（元/平方米）</v>
      </c>
      <c r="Q35" s="3384"/>
      <c r="R35" s="3466">
        <f>E35</f>
        <v>0</v>
      </c>
      <c r="S35" s="3466"/>
      <c r="T35" s="3466">
        <f>G35</f>
        <v>0</v>
      </c>
      <c r="U35" s="3466"/>
      <c r="V35" s="3466">
        <f>I35</f>
        <v>0</v>
      </c>
      <c r="W35" s="3466"/>
      <c r="X35" s="1556"/>
      <c r="Y35" s="1578"/>
      <c r="Z35" s="1556"/>
      <c r="AA35" s="1556"/>
      <c r="AB35" s="1556"/>
      <c r="AC35" s="1556"/>
    </row>
    <row r="36" spans="1:29" ht="15.75" thickBot="1">
      <c r="A36" s="612" t="s">
        <v>2769</v>
      </c>
      <c r="B36" s="884"/>
      <c r="C36" s="2655" t="e">
        <f>R37</f>
        <v>#DIV/0!</v>
      </c>
      <c r="D36" s="2656"/>
      <c r="E36" s="2657" t="e">
        <f>R36</f>
        <v>#DIV/0!</v>
      </c>
      <c r="F36" s="2657"/>
      <c r="G36" s="2655" t="e">
        <f>T36</f>
        <v>#DIV/0!</v>
      </c>
      <c r="H36" s="2656"/>
      <c r="I36" s="2657" t="e">
        <f>V36</f>
        <v>#DIV/0!</v>
      </c>
      <c r="J36" s="2656"/>
      <c r="K36" s="1609"/>
      <c r="L36" s="2142"/>
      <c r="M36" s="2143"/>
      <c r="N36" s="2132"/>
      <c r="O36" s="2143"/>
      <c r="P36" s="3384" t="str">
        <f>A36</f>
        <v>比较价格（元/平方米）</v>
      </c>
      <c r="Q36" s="3384"/>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56"/>
      <c r="Y36" s="1556"/>
      <c r="Z36" s="1556"/>
      <c r="AA36" s="1556"/>
      <c r="AB36" s="1556"/>
      <c r="AC36" s="1556"/>
    </row>
    <row r="37" spans="1:29" ht="15.75" thickBot="1">
      <c r="A37" s="618" t="s">
        <v>2946</v>
      </c>
      <c r="B37" s="619"/>
      <c r="C37" s="2658" t="e">
        <f>R37</f>
        <v>#DIV/0!</v>
      </c>
      <c r="D37" s="2658"/>
      <c r="E37" s="2658"/>
      <c r="F37" s="2658"/>
      <c r="G37" s="2658"/>
      <c r="H37" s="2658"/>
      <c r="I37" s="2658"/>
      <c r="J37" s="2658"/>
      <c r="K37" s="1610"/>
      <c r="L37" s="2142"/>
      <c r="M37" s="2143"/>
      <c r="N37" s="2143"/>
      <c r="O37" s="2143"/>
      <c r="P37" s="3406" t="str">
        <f>A37</f>
        <v>估价对象XX用房的比较价格（楼面单价，元/平方米）</v>
      </c>
      <c r="Q37" s="3407"/>
      <c r="R37" s="3465" t="e">
        <f>IF(F1="售价",ROUND(AVERAGE(R36:V36),0),ROUND(AVERAGE(R36:V36),1))</f>
        <v>#DIV/0!</v>
      </c>
      <c r="S37" s="3465"/>
      <c r="T37" s="3465"/>
      <c r="U37" s="3465"/>
      <c r="V37" s="3465"/>
      <c r="W37" s="3465"/>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2" t="s">
        <v>530</v>
      </c>
      <c r="B46" s="643"/>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8"/>
      <c r="Q46" s="2159"/>
      <c r="R46" s="2159"/>
      <c r="S46" s="2159"/>
      <c r="T46" s="2159"/>
      <c r="U46" s="2159"/>
      <c r="V46" s="2159"/>
      <c r="W46" s="2159"/>
      <c r="X46" s="2159"/>
      <c r="Y46" s="2159"/>
      <c r="Z46" s="2159"/>
      <c r="AA46" s="2159"/>
      <c r="AB46" s="2159"/>
      <c r="AC46" s="2159"/>
    </row>
    <row r="47" spans="1:29" s="1216" customFormat="1" ht="15">
      <c r="A47" s="644"/>
      <c r="B47" s="645"/>
      <c r="C47" s="646">
        <v>100</v>
      </c>
      <c r="D47" s="647"/>
      <c r="E47" s="647"/>
      <c r="F47" s="647"/>
      <c r="G47" s="647"/>
      <c r="H47" s="647"/>
      <c r="I47" s="647"/>
      <c r="J47" s="647"/>
      <c r="K47" s="647"/>
      <c r="L47" s="647"/>
      <c r="M47" s="648"/>
      <c r="N47" s="647"/>
      <c r="O47" s="649"/>
      <c r="P47" s="2156"/>
      <c r="Q47" s="1991"/>
      <c r="R47" s="1991"/>
      <c r="S47" s="1991"/>
      <c r="T47" s="1991"/>
      <c r="U47" s="1991"/>
      <c r="V47" s="1991"/>
      <c r="W47" s="1991"/>
      <c r="X47" s="1991"/>
      <c r="Y47" s="1991"/>
      <c r="Z47" s="1991"/>
      <c r="AA47" s="1991"/>
      <c r="AB47" s="1991"/>
      <c r="AC47" s="1991"/>
    </row>
    <row r="48" spans="1:29" s="1216" customFormat="1" ht="15.75" thickBot="1">
      <c r="A48" s="650" t="s">
        <v>576</v>
      </c>
      <c r="B48" s="651"/>
      <c r="C48" s="652"/>
      <c r="D48" s="653"/>
      <c r="E48" s="653"/>
      <c r="F48" s="653"/>
      <c r="G48" s="653"/>
      <c r="H48" s="653"/>
      <c r="I48" s="653"/>
      <c r="J48" s="653"/>
      <c r="K48" s="653"/>
      <c r="L48" s="653"/>
      <c r="M48" s="654"/>
      <c r="N48" s="653"/>
      <c r="O48" s="655"/>
      <c r="P48" s="2156"/>
      <c r="Q48" s="2156"/>
      <c r="R48" s="1991"/>
      <c r="S48" s="1991"/>
      <c r="T48" s="1991"/>
      <c r="U48" s="1991"/>
      <c r="V48" s="1991"/>
      <c r="W48" s="1991"/>
      <c r="X48" s="1991"/>
      <c r="Y48" s="1991"/>
      <c r="Z48" s="1991"/>
      <c r="AA48" s="1991"/>
      <c r="AB48" s="1991"/>
      <c r="AC48" s="1991"/>
    </row>
    <row r="49" spans="1:29" s="1216" customFormat="1" ht="15">
      <c r="A49" s="656" t="s">
        <v>532</v>
      </c>
      <c r="B49" s="645"/>
      <c r="C49" s="657" t="s">
        <v>577</v>
      </c>
      <c r="D49" s="658"/>
      <c r="E49" s="658"/>
      <c r="F49" s="658"/>
      <c r="G49" s="658"/>
      <c r="H49" s="658"/>
      <c r="I49" s="658"/>
      <c r="J49" s="658"/>
      <c r="K49" s="658"/>
      <c r="L49" s="659"/>
      <c r="M49" s="660"/>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6"/>
      <c r="B50" s="645"/>
      <c r="C50" s="646">
        <v>100</v>
      </c>
      <c r="D50" s="647"/>
      <c r="E50" s="647"/>
      <c r="F50" s="647"/>
      <c r="G50" s="647"/>
      <c r="H50" s="647"/>
      <c r="I50" s="647"/>
      <c r="J50" s="647"/>
      <c r="K50" s="647"/>
      <c r="L50" s="647"/>
      <c r="M50" s="649"/>
      <c r="N50" s="2160"/>
      <c r="O50" s="2160"/>
      <c r="P50" s="2156"/>
      <c r="Q50" s="2156"/>
      <c r="R50" s="1991"/>
      <c r="S50" s="1991"/>
      <c r="T50" s="1991"/>
      <c r="U50" s="1991"/>
      <c r="V50" s="1991"/>
      <c r="W50" s="1991"/>
      <c r="X50" s="1991"/>
      <c r="Y50" s="1991"/>
      <c r="Z50" s="1991"/>
      <c r="AA50" s="1991"/>
      <c r="AB50" s="1991"/>
      <c r="AC50" s="1991"/>
    </row>
    <row r="51" spans="1:29">
      <c r="A51" s="661" t="s">
        <v>578</v>
      </c>
      <c r="B51" s="662" t="s">
        <v>535</v>
      </c>
      <c r="C51" s="701">
        <f>C9</f>
        <v>0</v>
      </c>
      <c r="D51" s="595"/>
      <c r="E51" s="595"/>
      <c r="F51" s="595"/>
      <c r="G51" s="595"/>
      <c r="H51" s="595"/>
      <c r="I51" s="595"/>
      <c r="J51" s="595"/>
      <c r="K51" s="663"/>
      <c r="L51" s="664"/>
      <c r="M51" s="665"/>
      <c r="N51" s="2162"/>
      <c r="O51" s="2162"/>
      <c r="P51" s="2163"/>
      <c r="Q51" s="2156"/>
      <c r="R51" s="2143"/>
      <c r="S51" s="2143"/>
      <c r="T51" s="2143"/>
      <c r="U51" s="2143"/>
      <c r="V51" s="2143"/>
      <c r="W51" s="2143"/>
      <c r="X51" s="2143"/>
      <c r="Y51" s="2143"/>
      <c r="Z51" s="2143"/>
      <c r="AA51" s="2143"/>
      <c r="AB51" s="2143"/>
      <c r="AC51" s="2143"/>
    </row>
    <row r="52" spans="1:29" ht="15.75" thickBot="1">
      <c r="A52" s="666"/>
      <c r="B52" s="667"/>
      <c r="C52" s="668">
        <v>100</v>
      </c>
      <c r="D52" s="668"/>
      <c r="E52" s="668"/>
      <c r="F52" s="668"/>
      <c r="G52" s="668"/>
      <c r="H52" s="668"/>
      <c r="I52" s="668"/>
      <c r="J52" s="668"/>
      <c r="K52" s="668"/>
      <c r="L52" s="668"/>
      <c r="M52" s="669"/>
      <c r="N52" s="2164"/>
      <c r="O52" s="2164"/>
      <c r="P52" s="2163"/>
      <c r="Q52" s="2156"/>
      <c r="R52" s="2143"/>
      <c r="S52" s="2143"/>
      <c r="T52" s="2143"/>
      <c r="U52" s="2143"/>
      <c r="V52" s="2143"/>
      <c r="W52" s="2143"/>
      <c r="X52" s="2143"/>
      <c r="Y52" s="2143"/>
      <c r="Z52" s="2143"/>
      <c r="AA52" s="2143"/>
      <c r="AB52" s="2143"/>
      <c r="AC52" s="2143"/>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62"/>
      <c r="O53" s="2162"/>
      <c r="P53" s="2163"/>
      <c r="Q53" s="2156"/>
      <c r="R53" s="2143"/>
      <c r="S53" s="2143"/>
      <c r="T53" s="2143"/>
      <c r="U53" s="2143"/>
      <c r="V53" s="2143"/>
      <c r="W53" s="2143"/>
      <c r="X53" s="2143"/>
      <c r="Y53" s="2143"/>
      <c r="Z53" s="2143"/>
      <c r="AA53" s="2143"/>
      <c r="AB53" s="2143"/>
      <c r="AC53" s="2143"/>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4"/>
      <c r="O54" s="2164"/>
      <c r="P54" s="2163"/>
      <c r="Q54" s="2156"/>
      <c r="R54" s="2143"/>
      <c r="S54" s="2143"/>
      <c r="T54" s="2143"/>
      <c r="U54" s="2143"/>
      <c r="V54" s="2143"/>
      <c r="W54" s="2143"/>
      <c r="X54" s="2143"/>
      <c r="Y54" s="2143"/>
      <c r="Z54" s="2143"/>
      <c r="AA54" s="2143"/>
      <c r="AB54" s="2143"/>
      <c r="AC54" s="2143"/>
    </row>
    <row r="55" spans="1:29" ht="15.75" thickTop="1">
      <c r="A55" s="666"/>
      <c r="B55" s="931">
        <f>B11</f>
        <v>111</v>
      </c>
      <c r="C55" s="538"/>
      <c r="D55" s="538"/>
      <c r="E55" s="538"/>
      <c r="F55" s="538"/>
      <c r="G55" s="538"/>
      <c r="H55" s="538"/>
      <c r="I55" s="538"/>
      <c r="J55" s="538"/>
      <c r="K55" s="681"/>
      <c r="L55" s="682"/>
      <c r="M55" s="683"/>
      <c r="N55" s="2162"/>
      <c r="O55" s="2162"/>
      <c r="P55" s="2163"/>
      <c r="Q55" s="2156"/>
      <c r="R55" s="2143"/>
      <c r="S55" s="2143"/>
      <c r="T55" s="2143"/>
      <c r="U55" s="2143"/>
      <c r="V55" s="2143"/>
      <c r="W55" s="2143"/>
      <c r="X55" s="2143"/>
      <c r="Y55" s="2143"/>
      <c r="Z55" s="2143"/>
      <c r="AA55" s="2143"/>
      <c r="AB55" s="2143"/>
      <c r="AC55" s="2143"/>
    </row>
    <row r="56" spans="1:29" ht="15.75" thickBot="1">
      <c r="A56" s="666"/>
      <c r="B56" s="667"/>
      <c r="C56" s="689"/>
      <c r="D56" s="668"/>
      <c r="E56" s="668"/>
      <c r="F56" s="668"/>
      <c r="G56" s="668"/>
      <c r="H56" s="668"/>
      <c r="I56" s="668"/>
      <c r="J56" s="668"/>
      <c r="K56" s="668"/>
      <c r="L56" s="668"/>
      <c r="M56" s="669"/>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4"/>
      <c r="B57" s="670">
        <f>B12</f>
        <v>111</v>
      </c>
      <c r="C57" s="538"/>
      <c r="D57" s="538"/>
      <c r="E57" s="538"/>
      <c r="F57" s="538"/>
      <c r="G57" s="685"/>
      <c r="H57" s="686"/>
      <c r="I57" s="686"/>
      <c r="J57" s="686"/>
      <c r="K57" s="686"/>
      <c r="L57" s="687"/>
      <c r="M57" s="688"/>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4"/>
      <c r="B58" s="675"/>
      <c r="C58" s="689"/>
      <c r="D58" s="668"/>
      <c r="E58" s="668"/>
      <c r="F58" s="668"/>
      <c r="G58" s="668"/>
      <c r="H58" s="668"/>
      <c r="I58" s="668"/>
      <c r="J58" s="668"/>
      <c r="K58" s="668"/>
      <c r="L58" s="668"/>
      <c r="M58" s="669"/>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4"/>
      <c r="B59" s="670">
        <f>B13</f>
        <v>111</v>
      </c>
      <c r="C59" s="538"/>
      <c r="D59" s="538"/>
      <c r="E59" s="538"/>
      <c r="F59" s="538"/>
      <c r="G59" s="685"/>
      <c r="H59" s="686"/>
      <c r="I59" s="686"/>
      <c r="J59" s="686"/>
      <c r="K59" s="686"/>
      <c r="L59" s="687"/>
      <c r="M59" s="688"/>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4"/>
      <c r="B60" s="675"/>
      <c r="C60" s="689"/>
      <c r="D60" s="689"/>
      <c r="E60" s="689"/>
      <c r="F60" s="689"/>
      <c r="G60" s="689"/>
      <c r="H60" s="690"/>
      <c r="I60" s="690"/>
      <c r="J60" s="690"/>
      <c r="K60" s="690"/>
      <c r="L60" s="690"/>
      <c r="M60" s="691"/>
      <c r="N60" s="2165"/>
      <c r="O60" s="2165"/>
      <c r="P60" s="2166"/>
      <c r="Q60" s="2167"/>
      <c r="R60" s="2168"/>
      <c r="S60" s="2168"/>
      <c r="T60" s="2168"/>
      <c r="U60" s="2168"/>
      <c r="V60" s="2168"/>
      <c r="W60" s="2168"/>
      <c r="X60" s="2168"/>
      <c r="Y60" s="2168"/>
      <c r="Z60" s="2168"/>
      <c r="AA60" s="2168"/>
      <c r="AB60" s="2168"/>
      <c r="AC60" s="2168"/>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62"/>
      <c r="O61" s="2162"/>
      <c r="P61" s="2172"/>
      <c r="Q61" s="2156"/>
      <c r="R61" s="2143"/>
      <c r="S61" s="2143"/>
      <c r="T61" s="2143"/>
      <c r="U61" s="2143"/>
      <c r="V61" s="2143"/>
      <c r="W61" s="2143"/>
      <c r="X61" s="2143"/>
      <c r="Y61" s="2143"/>
      <c r="Z61" s="2143"/>
      <c r="AA61" s="2143"/>
      <c r="AB61" s="2143"/>
      <c r="AC61" s="2143"/>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4"/>
      <c r="O62" s="2164"/>
      <c r="P62" s="2163"/>
      <c r="Q62" s="2156"/>
      <c r="R62" s="2143"/>
      <c r="S62" s="2143"/>
      <c r="T62" s="2143"/>
      <c r="U62" s="2143"/>
      <c r="V62" s="2143"/>
      <c r="W62" s="2143"/>
      <c r="X62" s="2143"/>
      <c r="Y62" s="2143"/>
      <c r="Z62" s="2143"/>
      <c r="AA62" s="2143"/>
      <c r="AB62" s="2143"/>
      <c r="AC62" s="2143"/>
    </row>
    <row r="63" spans="1:29" ht="15.75" thickTop="1">
      <c r="A63" s="666"/>
      <c r="B63" s="1894" t="s">
        <v>2564</v>
      </c>
      <c r="C63" s="705" t="s">
        <v>580</v>
      </c>
      <c r="D63" s="705" t="s">
        <v>581</v>
      </c>
      <c r="E63" s="705" t="s">
        <v>582</v>
      </c>
      <c r="F63" s="705" t="s">
        <v>583</v>
      </c>
      <c r="G63" s="705" t="s">
        <v>584</v>
      </c>
      <c r="H63" s="671"/>
      <c r="I63" s="671"/>
      <c r="J63" s="671"/>
      <c r="K63" s="672"/>
      <c r="L63" s="673"/>
      <c r="M63" s="674"/>
      <c r="N63" s="2162"/>
      <c r="O63" s="2162"/>
      <c r="P63" s="2163"/>
      <c r="Q63" s="2156"/>
      <c r="R63" s="2143"/>
      <c r="S63" s="2143"/>
      <c r="T63" s="2143"/>
      <c r="U63" s="2143"/>
      <c r="V63" s="2143"/>
      <c r="W63" s="2143"/>
      <c r="X63" s="2143"/>
      <c r="Y63" s="2143"/>
      <c r="Z63" s="2143"/>
      <c r="AA63" s="2143"/>
      <c r="AB63" s="2143"/>
      <c r="AC63" s="2143"/>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4"/>
      <c r="O64" s="2164"/>
      <c r="P64" s="2163"/>
      <c r="Q64" s="2156"/>
      <c r="R64" s="2143"/>
      <c r="S64" s="2143"/>
      <c r="T64" s="2143"/>
      <c r="U64" s="2143"/>
      <c r="V64" s="2143"/>
      <c r="W64" s="2143"/>
      <c r="X64" s="2143"/>
      <c r="Y64" s="2143"/>
      <c r="Z64" s="2143"/>
      <c r="AA64" s="2143"/>
      <c r="AB64" s="2143"/>
      <c r="AC64" s="2143"/>
    </row>
    <row r="65" spans="1:29" ht="15.75" thickTop="1">
      <c r="A65" s="666"/>
      <c r="B65" s="2619" t="s">
        <v>2565</v>
      </c>
      <c r="C65" s="2620" t="s">
        <v>2566</v>
      </c>
      <c r="D65" s="2620" t="s">
        <v>2567</v>
      </c>
      <c r="E65" s="2620" t="s">
        <v>2568</v>
      </c>
      <c r="F65" s="2620" t="s">
        <v>2569</v>
      </c>
      <c r="G65" s="2620" t="s">
        <v>2570</v>
      </c>
      <c r="H65" s="671"/>
      <c r="I65" s="671"/>
      <c r="J65" s="671"/>
      <c r="K65" s="671"/>
      <c r="L65" s="671"/>
      <c r="M65" s="2623"/>
      <c r="N65" s="2164"/>
      <c r="O65" s="2164"/>
      <c r="P65" s="2163"/>
      <c r="Q65" s="2156"/>
      <c r="R65" s="2143"/>
      <c r="S65" s="2143"/>
      <c r="T65" s="2143"/>
      <c r="U65" s="2143"/>
      <c r="V65" s="2143"/>
      <c r="W65" s="2143"/>
      <c r="X65" s="2143"/>
      <c r="Y65" s="2143"/>
      <c r="Z65" s="2143"/>
      <c r="AA65" s="2143"/>
      <c r="AB65" s="2143"/>
      <c r="AC65" s="2143"/>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64"/>
      <c r="O66" s="2164"/>
      <c r="P66" s="2163"/>
      <c r="Q66" s="2156"/>
      <c r="R66" s="2143"/>
      <c r="S66" s="2143"/>
      <c r="T66" s="2143"/>
      <c r="U66" s="2143"/>
      <c r="V66" s="2143"/>
      <c r="W66" s="2143"/>
      <c r="X66" s="2143"/>
      <c r="Y66" s="2143"/>
      <c r="Z66" s="2143"/>
      <c r="AA66" s="2143"/>
      <c r="AB66" s="2143"/>
      <c r="AC66" s="2143"/>
    </row>
    <row r="67" spans="1:29" ht="15.75" thickTop="1">
      <c r="A67" s="666"/>
      <c r="B67" s="670" t="s">
        <v>745</v>
      </c>
      <c r="C67" s="705" t="s">
        <v>580</v>
      </c>
      <c r="D67" s="705" t="s">
        <v>581</v>
      </c>
      <c r="E67" s="705" t="s">
        <v>582</v>
      </c>
      <c r="F67" s="705" t="s">
        <v>583</v>
      </c>
      <c r="G67" s="705" t="s">
        <v>584</v>
      </c>
      <c r="H67" s="671"/>
      <c r="I67" s="671"/>
      <c r="J67" s="671"/>
      <c r="K67" s="672"/>
      <c r="L67" s="673"/>
      <c r="M67" s="674"/>
      <c r="N67" s="2162"/>
      <c r="O67" s="2162"/>
      <c r="P67" s="2163"/>
      <c r="Q67" s="2156"/>
      <c r="R67" s="2143"/>
      <c r="S67" s="2143"/>
      <c r="T67" s="2143"/>
      <c r="U67" s="2143"/>
      <c r="V67" s="2143"/>
      <c r="W67" s="2143"/>
      <c r="X67" s="2143"/>
      <c r="Y67" s="2143"/>
      <c r="Z67" s="2143"/>
      <c r="AA67" s="2143"/>
      <c r="AB67" s="2143"/>
      <c r="AC67" s="2143"/>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4"/>
      <c r="O68" s="2164"/>
      <c r="P68" s="2163"/>
      <c r="Q68" s="2156"/>
      <c r="R68" s="2143"/>
      <c r="S68" s="2143"/>
      <c r="T68" s="2143"/>
      <c r="U68" s="2143"/>
      <c r="V68" s="2143"/>
      <c r="W68" s="2143"/>
      <c r="X68" s="2143"/>
      <c r="Y68" s="2143"/>
      <c r="Z68" s="2143"/>
      <c r="AA68" s="2143"/>
      <c r="AB68" s="2143"/>
      <c r="AC68" s="2143"/>
    </row>
    <row r="69" spans="1:29" ht="15.75" thickTop="1">
      <c r="A69" s="666"/>
      <c r="B69" s="670" t="s">
        <v>746</v>
      </c>
      <c r="C69" s="685"/>
      <c r="D69" s="685"/>
      <c r="E69" s="685"/>
      <c r="F69" s="685"/>
      <c r="G69" s="685"/>
      <c r="H69" s="715"/>
      <c r="I69" s="715"/>
      <c r="J69" s="715"/>
      <c r="K69" s="716"/>
      <c r="L69" s="717"/>
      <c r="M69" s="718"/>
      <c r="N69" s="2162"/>
      <c r="O69" s="2162"/>
      <c r="P69" s="2163"/>
      <c r="Q69" s="2156"/>
      <c r="R69" s="2143"/>
      <c r="S69" s="2143"/>
      <c r="T69" s="2143"/>
      <c r="U69" s="2143"/>
      <c r="V69" s="2143"/>
      <c r="W69" s="2143"/>
      <c r="X69" s="2143"/>
      <c r="Y69" s="2143"/>
      <c r="Z69" s="2143"/>
      <c r="AA69" s="2143"/>
      <c r="AB69" s="2143"/>
      <c r="AC69" s="2143"/>
    </row>
    <row r="70" spans="1:29" ht="15.75" thickBot="1">
      <c r="A70" s="666"/>
      <c r="B70" s="675"/>
      <c r="C70" s="676">
        <v>100</v>
      </c>
      <c r="D70" s="676">
        <f>C70-$K22</f>
        <v>100</v>
      </c>
      <c r="E70" s="676"/>
      <c r="F70" s="676"/>
      <c r="G70" s="676"/>
      <c r="H70" s="676"/>
      <c r="I70" s="676"/>
      <c r="J70" s="676"/>
      <c r="K70" s="676"/>
      <c r="L70" s="676"/>
      <c r="M70" s="677"/>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6"/>
      <c r="B71" s="670">
        <f>B23</f>
        <v>111</v>
      </c>
      <c r="C71" s="538"/>
      <c r="D71" s="538"/>
      <c r="E71" s="538"/>
      <c r="F71" s="538"/>
      <c r="G71" s="685"/>
      <c r="H71" s="685"/>
      <c r="I71" s="685"/>
      <c r="J71" s="685"/>
      <c r="K71" s="685"/>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6"/>
      <c r="B72" s="675"/>
      <c r="C72" s="689"/>
      <c r="D72" s="668"/>
      <c r="E72" s="668"/>
      <c r="F72" s="668"/>
      <c r="G72" s="668"/>
      <c r="H72" s="668"/>
      <c r="I72" s="668"/>
      <c r="J72" s="668"/>
      <c r="K72" s="668"/>
      <c r="L72" s="668"/>
      <c r="M72" s="669"/>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6"/>
      <c r="B73" s="670">
        <f>B24</f>
        <v>111</v>
      </c>
      <c r="C73" s="538"/>
      <c r="D73" s="538"/>
      <c r="E73" s="538"/>
      <c r="F73" s="538"/>
      <c r="G73" s="685"/>
      <c r="H73" s="685"/>
      <c r="I73" s="685"/>
      <c r="J73" s="685"/>
      <c r="K73" s="685"/>
      <c r="L73" s="685"/>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6"/>
      <c r="B74" s="675"/>
      <c r="C74" s="689"/>
      <c r="D74" s="668"/>
      <c r="E74" s="668"/>
      <c r="F74" s="668"/>
      <c r="G74" s="668"/>
      <c r="H74" s="668"/>
      <c r="I74" s="668"/>
      <c r="J74" s="668"/>
      <c r="K74" s="668"/>
      <c r="L74" s="668"/>
      <c r="M74" s="669"/>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4"/>
      <c r="B75" s="670">
        <f>B25</f>
        <v>111</v>
      </c>
      <c r="C75" s="538"/>
      <c r="D75" s="538"/>
      <c r="E75" s="538"/>
      <c r="F75" s="538"/>
      <c r="G75" s="685"/>
      <c r="H75" s="686"/>
      <c r="I75" s="686"/>
      <c r="J75" s="686"/>
      <c r="K75" s="686"/>
      <c r="L75" s="687"/>
      <c r="M75" s="688"/>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4"/>
      <c r="B76" s="675"/>
      <c r="C76" s="689"/>
      <c r="D76" s="689"/>
      <c r="E76" s="689"/>
      <c r="F76" s="689"/>
      <c r="G76" s="668"/>
      <c r="H76" s="668"/>
      <c r="I76" s="668"/>
      <c r="J76" s="668"/>
      <c r="K76" s="668"/>
      <c r="L76" s="668"/>
      <c r="M76" s="669"/>
      <c r="N76" s="2165"/>
      <c r="O76" s="2165"/>
      <c r="P76" s="2166"/>
      <c r="Q76" s="2167"/>
      <c r="R76" s="2168"/>
      <c r="S76" s="2168"/>
      <c r="T76" s="2168"/>
      <c r="U76" s="2168"/>
      <c r="V76" s="2168"/>
      <c r="W76" s="2168"/>
      <c r="X76" s="2168"/>
      <c r="Y76" s="2168"/>
      <c r="Z76" s="2168"/>
      <c r="AA76" s="2168"/>
      <c r="AB76" s="2168"/>
      <c r="AC76" s="2168"/>
    </row>
    <row r="77" spans="1:29" ht="15" thickTop="1">
      <c r="A77" s="661" t="s">
        <v>552</v>
      </c>
      <c r="B77" s="662" t="s">
        <v>752</v>
      </c>
      <c r="C77" s="685"/>
      <c r="D77" s="685"/>
      <c r="E77" s="595"/>
      <c r="F77" s="595"/>
      <c r="G77" s="595"/>
      <c r="H77" s="595"/>
      <c r="I77" s="595"/>
      <c r="J77" s="595"/>
      <c r="K77" s="663"/>
      <c r="L77" s="664"/>
      <c r="M77" s="665"/>
      <c r="N77" s="2162"/>
      <c r="O77" s="2162"/>
      <c r="P77" s="2163"/>
      <c r="Q77" s="2156"/>
      <c r="R77" s="2143"/>
      <c r="S77" s="2143"/>
      <c r="T77" s="2143"/>
      <c r="U77" s="2143"/>
      <c r="V77" s="2143"/>
      <c r="W77" s="2143"/>
      <c r="X77" s="2143"/>
      <c r="Y77" s="2143"/>
      <c r="Z77" s="2143"/>
      <c r="AA77" s="2143"/>
      <c r="AB77" s="2143"/>
      <c r="AC77" s="2143"/>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0"/>
      <c r="O79" s="2160"/>
      <c r="P79" s="2163"/>
      <c r="Q79" s="2156"/>
      <c r="R79" s="2143"/>
      <c r="S79" s="2143"/>
      <c r="T79" s="2143"/>
      <c r="U79" s="2143"/>
      <c r="V79" s="2143"/>
      <c r="W79" s="2143"/>
      <c r="X79" s="2143"/>
      <c r="Y79" s="2143"/>
      <c r="Z79" s="2143"/>
      <c r="AA79" s="2143"/>
      <c r="AB79" s="2143"/>
      <c r="AC79" s="2143"/>
    </row>
    <row r="80" spans="1:29" ht="15">
      <c r="A80" s="666"/>
      <c r="B80" s="678"/>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2"/>
      <c r="B82" s="678" t="s">
        <v>818</v>
      </c>
      <c r="C82" s="685"/>
      <c r="D82" s="685"/>
      <c r="E82" s="715"/>
      <c r="F82" s="715"/>
      <c r="G82" s="715"/>
      <c r="H82" s="715"/>
      <c r="I82" s="715"/>
      <c r="J82" s="715"/>
      <c r="K82" s="716"/>
      <c r="L82" s="717"/>
      <c r="M82" s="718"/>
      <c r="N82" s="2162"/>
      <c r="O82" s="2162"/>
      <c r="P82" s="2163"/>
      <c r="Q82" s="2156"/>
      <c r="R82" s="2143"/>
      <c r="S82" s="2143"/>
      <c r="T82" s="2143"/>
      <c r="U82" s="2143"/>
      <c r="V82" s="2143"/>
      <c r="W82" s="2143"/>
      <c r="X82" s="2143"/>
      <c r="Y82" s="2143"/>
      <c r="Z82" s="2143"/>
      <c r="AA82" s="2143"/>
      <c r="AB82" s="2143"/>
      <c r="AC82" s="2143"/>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2"/>
      <c r="B84" s="670" t="s">
        <v>826</v>
      </c>
      <c r="C84" s="685"/>
      <c r="D84" s="685"/>
      <c r="E84" s="685"/>
      <c r="F84" s="685"/>
      <c r="G84" s="685"/>
      <c r="H84" s="685"/>
      <c r="I84" s="715"/>
      <c r="J84" s="715"/>
      <c r="K84" s="716"/>
      <c r="L84" s="717"/>
      <c r="M84" s="718"/>
      <c r="N84" s="2162"/>
      <c r="O84" s="2162"/>
      <c r="P84" s="2163"/>
      <c r="Q84" s="2156"/>
      <c r="R84" s="2143"/>
      <c r="S84" s="2143"/>
      <c r="T84" s="2143"/>
      <c r="U84" s="2143"/>
      <c r="V84" s="2143"/>
      <c r="W84" s="2143"/>
      <c r="X84" s="2143"/>
      <c r="Y84" s="2143"/>
      <c r="Z84" s="2143"/>
      <c r="AA84" s="2143"/>
      <c r="AB84" s="2143"/>
      <c r="AC84" s="2143"/>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2"/>
      <c r="O86" s="2162"/>
      <c r="P86" s="2163"/>
      <c r="Q86" s="2156"/>
      <c r="R86" s="2143"/>
      <c r="S86" s="2143"/>
      <c r="T86" s="2143"/>
      <c r="U86" s="2143"/>
      <c r="V86" s="2143"/>
      <c r="W86" s="2143"/>
      <c r="X86" s="2143"/>
      <c r="Y86" s="2143"/>
      <c r="Z86" s="2143"/>
      <c r="AA86" s="2143"/>
      <c r="AB86" s="2143"/>
      <c r="AC86" s="2143"/>
    </row>
    <row r="87" spans="1:29">
      <c r="A87" s="732"/>
      <c r="B87" s="678"/>
      <c r="C87" s="727"/>
      <c r="D87" s="727"/>
      <c r="E87" s="727"/>
      <c r="F87" s="727"/>
      <c r="G87" s="727"/>
      <c r="H87" s="727"/>
      <c r="I87" s="727"/>
      <c r="J87" s="728"/>
      <c r="K87" s="728"/>
      <c r="L87" s="729"/>
      <c r="M87" s="730"/>
      <c r="N87" s="2162"/>
      <c r="O87" s="2162"/>
      <c r="P87" s="2163"/>
      <c r="Q87" s="2156"/>
      <c r="R87" s="2143"/>
      <c r="S87" s="2143"/>
      <c r="T87" s="2143"/>
      <c r="U87" s="2143"/>
      <c r="V87" s="2143"/>
      <c r="W87" s="2143"/>
      <c r="X87" s="2143"/>
      <c r="Y87" s="2143"/>
      <c r="Z87" s="2143"/>
      <c r="AA87" s="2143"/>
      <c r="AB87" s="2143"/>
      <c r="AC87" s="2143"/>
    </row>
    <row r="88" spans="1:29" ht="15.75" thickBot="1">
      <c r="A88" s="666"/>
      <c r="B88" s="675"/>
      <c r="C88" s="689"/>
      <c r="D88" s="668"/>
      <c r="E88" s="668"/>
      <c r="F88" s="668"/>
      <c r="G88" s="668"/>
      <c r="H88" s="668"/>
      <c r="I88" s="668"/>
      <c r="J88" s="668"/>
      <c r="K88" s="668"/>
      <c r="L88" s="668"/>
      <c r="M88" s="668"/>
      <c r="N88" s="2164"/>
      <c r="O88" s="2164"/>
      <c r="P88" s="2163"/>
      <c r="Q88" s="2156"/>
      <c r="R88" s="2143"/>
      <c r="S88" s="2143"/>
      <c r="T88" s="2143"/>
      <c r="U88" s="2143"/>
      <c r="V88" s="2143"/>
      <c r="W88" s="2143"/>
      <c r="X88" s="2143"/>
      <c r="Y88" s="2143"/>
      <c r="Z88" s="2143"/>
      <c r="AA88" s="2143"/>
      <c r="AB88" s="2143"/>
      <c r="AC88" s="2143"/>
    </row>
    <row r="89" spans="1:29" s="1335" customFormat="1" ht="15" thickTop="1">
      <c r="A89" s="725"/>
      <c r="B89" s="670" t="s">
        <v>828</v>
      </c>
      <c r="C89" s="685"/>
      <c r="D89" s="685"/>
      <c r="E89" s="685"/>
      <c r="F89" s="685"/>
      <c r="G89" s="685"/>
      <c r="H89" s="685"/>
      <c r="I89" s="685"/>
      <c r="J89" s="685"/>
      <c r="K89" s="685"/>
      <c r="L89" s="685"/>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4"/>
      <c r="B90" s="675"/>
      <c r="C90" s="689"/>
      <c r="D90" s="668"/>
      <c r="E90" s="668"/>
      <c r="F90" s="668"/>
      <c r="G90" s="668"/>
      <c r="H90" s="668"/>
      <c r="I90" s="668"/>
      <c r="J90" s="668"/>
      <c r="K90" s="668"/>
      <c r="L90" s="668"/>
      <c r="M90" s="669"/>
      <c r="N90" s="2165"/>
      <c r="O90" s="2165"/>
      <c r="P90" s="2166"/>
      <c r="Q90" s="2167"/>
      <c r="R90" s="2168"/>
      <c r="S90" s="2168"/>
      <c r="T90" s="2168"/>
      <c r="U90" s="2168"/>
      <c r="V90" s="2168"/>
      <c r="W90" s="2168"/>
      <c r="X90" s="2168"/>
      <c r="Y90" s="2168"/>
      <c r="Z90" s="2168"/>
      <c r="AA90" s="2168"/>
      <c r="AB90" s="2168"/>
      <c r="AC90" s="2168"/>
    </row>
    <row r="91" spans="1:29" ht="15" thickTop="1">
      <c r="A91" s="732"/>
      <c r="B91" s="670">
        <f>B32</f>
        <v>111</v>
      </c>
      <c r="C91" s="538"/>
      <c r="D91" s="538"/>
      <c r="E91" s="538"/>
      <c r="F91" s="538"/>
      <c r="G91" s="685"/>
      <c r="H91" s="686"/>
      <c r="I91" s="686"/>
      <c r="J91" s="686"/>
      <c r="K91" s="686"/>
      <c r="L91" s="687"/>
      <c r="M91" s="688"/>
      <c r="N91" s="2162"/>
      <c r="O91" s="2162"/>
      <c r="P91" s="2163"/>
      <c r="Q91" s="2156"/>
      <c r="R91" s="2143"/>
      <c r="S91" s="2143"/>
      <c r="T91" s="2143"/>
      <c r="U91" s="2143"/>
      <c r="V91" s="2143"/>
      <c r="W91" s="2143"/>
      <c r="X91" s="2143"/>
      <c r="Y91" s="2143"/>
      <c r="Z91" s="2143"/>
      <c r="AA91" s="2143"/>
      <c r="AB91" s="2143"/>
      <c r="AC91" s="2143"/>
    </row>
    <row r="92" spans="1:29" ht="15.75" thickBot="1">
      <c r="A92" s="666"/>
      <c r="B92" s="675"/>
      <c r="C92" s="689"/>
      <c r="D92" s="668"/>
      <c r="E92" s="668"/>
      <c r="F92" s="668"/>
      <c r="G92" s="689"/>
      <c r="H92" s="690"/>
      <c r="I92" s="690"/>
      <c r="J92" s="690"/>
      <c r="K92" s="690"/>
      <c r="L92" s="690"/>
      <c r="M92" s="691"/>
      <c r="N92" s="2164"/>
      <c r="O92" s="2164"/>
      <c r="P92" s="2163"/>
      <c r="Q92" s="2156"/>
      <c r="R92" s="2143"/>
      <c r="S92" s="2143"/>
      <c r="T92" s="2143"/>
      <c r="U92" s="2143"/>
      <c r="V92" s="2143"/>
      <c r="W92" s="2143"/>
      <c r="X92" s="2143"/>
      <c r="Y92" s="2143"/>
      <c r="Z92" s="2143"/>
      <c r="AA92" s="2143"/>
      <c r="AB92" s="2143"/>
      <c r="AC92" s="2143"/>
    </row>
    <row r="93" spans="1:29" ht="15" thickTop="1">
      <c r="A93" s="732"/>
      <c r="B93" s="670">
        <f>B33</f>
        <v>111</v>
      </c>
      <c r="C93" s="538"/>
      <c r="D93" s="538"/>
      <c r="E93" s="538"/>
      <c r="F93" s="538"/>
      <c r="G93" s="685"/>
      <c r="H93" s="686"/>
      <c r="I93" s="686"/>
      <c r="J93" s="686"/>
      <c r="K93" s="686"/>
      <c r="L93" s="687"/>
      <c r="M93" s="688"/>
      <c r="N93" s="2162"/>
      <c r="O93" s="2162"/>
      <c r="P93" s="2163"/>
      <c r="Q93" s="2156"/>
      <c r="R93" s="2143"/>
      <c r="S93" s="2143"/>
      <c r="T93" s="2143"/>
      <c r="U93" s="2143"/>
      <c r="V93" s="2143"/>
      <c r="W93" s="2143"/>
      <c r="X93" s="2143"/>
      <c r="Y93" s="2143"/>
      <c r="Z93" s="2143"/>
      <c r="AA93" s="2143"/>
      <c r="AB93" s="2143"/>
      <c r="AC93" s="2143"/>
    </row>
    <row r="94" spans="1:29" ht="15.75" thickBot="1">
      <c r="A94" s="666"/>
      <c r="B94" s="675"/>
      <c r="C94" s="689"/>
      <c r="D94" s="668"/>
      <c r="E94" s="668"/>
      <c r="F94" s="668"/>
      <c r="G94" s="689"/>
      <c r="H94" s="690"/>
      <c r="I94" s="690"/>
      <c r="J94" s="690"/>
      <c r="K94" s="690"/>
      <c r="L94" s="690"/>
      <c r="M94" s="691"/>
      <c r="N94" s="2164"/>
      <c r="O94" s="2164"/>
      <c r="P94" s="2163"/>
      <c r="Q94" s="2156"/>
      <c r="R94" s="2143"/>
      <c r="S94" s="2143"/>
      <c r="T94" s="2143"/>
      <c r="U94" s="2143"/>
      <c r="V94" s="2143"/>
      <c r="W94" s="2143"/>
      <c r="X94" s="2143"/>
      <c r="Y94" s="2143"/>
      <c r="Z94" s="2143"/>
      <c r="AA94" s="2143"/>
      <c r="AB94" s="2143"/>
      <c r="AC94" s="2143"/>
    </row>
    <row r="95" spans="1:29" ht="15" thickTop="1">
      <c r="A95" s="732"/>
      <c r="B95" s="913">
        <f>B34</f>
        <v>111</v>
      </c>
      <c r="C95" s="538"/>
      <c r="D95" s="538"/>
      <c r="E95" s="538"/>
      <c r="F95" s="538"/>
      <c r="G95" s="685"/>
      <c r="H95" s="686"/>
      <c r="I95" s="686"/>
      <c r="J95" s="686"/>
      <c r="K95" s="686"/>
      <c r="L95" s="687"/>
      <c r="M95" s="688"/>
      <c r="N95" s="2164"/>
      <c r="O95" s="2164"/>
      <c r="P95" s="2203"/>
      <c r="Q95" s="2204"/>
      <c r="R95" s="2143"/>
      <c r="S95" s="2143"/>
      <c r="T95" s="2143"/>
      <c r="U95" s="2143"/>
      <c r="V95" s="2143"/>
      <c r="W95" s="2143"/>
      <c r="X95" s="2143"/>
      <c r="Y95" s="2143"/>
      <c r="Z95" s="2143"/>
      <c r="AA95" s="2143"/>
      <c r="AB95" s="2143"/>
      <c r="AC95" s="2143"/>
    </row>
    <row r="96" spans="1:29" ht="15.75" thickBot="1">
      <c r="A96" s="666"/>
      <c r="B96" s="675"/>
      <c r="C96" s="689"/>
      <c r="D96" s="689"/>
      <c r="E96" s="689"/>
      <c r="F96" s="689"/>
      <c r="G96" s="689"/>
      <c r="H96" s="690"/>
      <c r="I96" s="690"/>
      <c r="J96" s="690"/>
      <c r="K96" s="690"/>
      <c r="L96" s="690"/>
      <c r="M96" s="691"/>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6"/>
    <col min="36" max="16384" width="9" style="1246"/>
  </cols>
  <sheetData>
    <row r="1" spans="1:45" s="256" customFormat="1" ht="14.25" customHeight="1" thickBot="1">
      <c r="A1" s="362"/>
      <c r="B1" s="2232" t="s">
        <v>2307</v>
      </c>
      <c r="C1" s="3498" t="s">
        <v>2308</v>
      </c>
      <c r="D1" s="3499"/>
      <c r="E1" s="3499"/>
      <c r="F1" s="3499"/>
      <c r="G1" s="3499"/>
      <c r="H1" s="3499"/>
      <c r="I1" s="3499"/>
      <c r="J1" s="3499"/>
      <c r="K1" s="3499"/>
      <c r="L1" s="3499"/>
      <c r="M1" s="3499"/>
      <c r="N1" s="3499"/>
      <c r="O1" s="3499"/>
      <c r="P1" s="3499"/>
      <c r="Q1" s="3499"/>
      <c r="R1" s="3499"/>
      <c r="S1" s="3500"/>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3" t="s">
        <v>2939</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5" t="s">
        <v>2938</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5" t="s">
        <v>2937</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4"/>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3" t="s">
        <v>2952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3" t="s">
        <v>2936</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3" t="s">
        <v>2935</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829</v>
      </c>
      <c r="B20" s="772">
        <f>S22</f>
        <v>0</v>
      </c>
      <c r="C20" s="1988"/>
      <c r="D20" s="1988"/>
      <c r="E20" s="1988"/>
      <c r="F20" s="1988"/>
      <c r="G20" s="1988"/>
      <c r="H20" s="1988"/>
      <c r="I20" s="1988"/>
      <c r="J20" s="1988"/>
      <c r="K20" s="1988"/>
      <c r="L20" s="1988"/>
      <c r="M20" s="1988"/>
      <c r="N20" s="1988"/>
      <c r="O20" s="1988"/>
      <c r="P20" s="1988"/>
      <c r="Q20" s="1988"/>
      <c r="R20" s="2223"/>
      <c r="S20" s="2026"/>
    </row>
    <row r="21" spans="1:45" ht="15.75">
      <c r="A21" s="956" t="s">
        <v>830</v>
      </c>
      <c r="B21" s="772" t="e">
        <f>R22</f>
        <v>#DIV/0!</v>
      </c>
      <c r="C21" s="1988"/>
      <c r="D21" s="1988"/>
      <c r="E21" s="1988"/>
      <c r="F21" s="1988"/>
      <c r="G21" s="1988"/>
      <c r="H21" s="1988"/>
      <c r="I21" s="1988"/>
      <c r="J21" s="1988"/>
      <c r="K21" s="1988"/>
      <c r="L21" s="1988"/>
      <c r="M21" s="1988"/>
      <c r="N21" s="1988"/>
      <c r="O21" s="1988"/>
      <c r="P21" s="1988"/>
      <c r="Q21" s="1988"/>
      <c r="R21" s="2223"/>
      <c r="S21" s="2026"/>
    </row>
    <row r="22" spans="1:45">
      <c r="A22" s="796" t="s">
        <v>831</v>
      </c>
      <c r="B22" s="53">
        <f>SUM(B24:B10000)</f>
        <v>0</v>
      </c>
      <c r="C22" s="3495" t="s">
        <v>20</v>
      </c>
      <c r="D22" s="3496"/>
      <c r="E22" s="3496"/>
      <c r="F22" s="3496"/>
      <c r="G22" s="3496"/>
      <c r="H22" s="3496"/>
      <c r="I22" s="3496"/>
      <c r="J22" s="3496"/>
      <c r="K22" s="3496"/>
      <c r="L22" s="3496"/>
      <c r="M22" s="3496"/>
      <c r="N22" s="3496"/>
      <c r="O22" s="3496"/>
      <c r="P22" s="3496"/>
      <c r="Q22" s="3497"/>
      <c r="R22" s="487"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8" t="s">
        <v>835</v>
      </c>
      <c r="S23" s="17" t="s">
        <v>836</v>
      </c>
      <c r="T23" s="18"/>
      <c r="U23" s="18"/>
      <c r="V23" s="18"/>
      <c r="W23" s="18"/>
      <c r="X23" s="18"/>
      <c r="Y23" s="18"/>
      <c r="Z23" s="18"/>
      <c r="AA23" s="18"/>
      <c r="AB23" s="18"/>
      <c r="AC23" s="18"/>
      <c r="AD23" s="18"/>
      <c r="AE23" s="18"/>
      <c r="AF23" s="18"/>
      <c r="AG23" s="18"/>
      <c r="AH23" s="18"/>
      <c r="AI23" s="18"/>
    </row>
    <row r="24" spans="1:45" s="1612"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7">
        <f>IF(B25="",0,ROUND($R$24*C25*E25*G25*I25*K25*M25*O25*Q25,0))</f>
        <v>0</v>
      </c>
      <c r="S25" s="796">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7">
        <f t="shared" ref="R26:R89" si="20">IF(B26="",0,ROUND($R$24*C26*E26*G26*I26*K26*M26*O26*Q26,0))</f>
        <v>0</v>
      </c>
      <c r="S26" s="796">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87">
        <f t="shared" si="20"/>
        <v>0</v>
      </c>
      <c r="S27" s="796">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87">
        <f t="shared" si="20"/>
        <v>0</v>
      </c>
      <c r="S28" s="796">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87">
        <f t="shared" si="20"/>
        <v>0</v>
      </c>
      <c r="S29" s="796">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87">
        <f t="shared" si="20"/>
        <v>0</v>
      </c>
      <c r="S30" s="796">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87">
        <f t="shared" si="20"/>
        <v>0</v>
      </c>
      <c r="S31" s="796">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87">
        <f t="shared" si="20"/>
        <v>0</v>
      </c>
      <c r="S32" s="796">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87">
        <f t="shared" si="20"/>
        <v>0</v>
      </c>
      <c r="S33" s="796">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87">
        <f t="shared" si="20"/>
        <v>0</v>
      </c>
      <c r="S34" s="796">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87">
        <f t="shared" si="20"/>
        <v>0</v>
      </c>
      <c r="S35" s="796">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87">
        <f t="shared" si="20"/>
        <v>0</v>
      </c>
      <c r="S36" s="796">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87">
        <f t="shared" si="20"/>
        <v>0</v>
      </c>
      <c r="S37" s="796">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87">
        <f t="shared" si="20"/>
        <v>0</v>
      </c>
      <c r="S38" s="796">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87">
        <f t="shared" si="20"/>
        <v>0</v>
      </c>
      <c r="S39" s="796">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87">
        <f t="shared" si="20"/>
        <v>0</v>
      </c>
      <c r="S40" s="796">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87">
        <f t="shared" si="20"/>
        <v>0</v>
      </c>
      <c r="S41" s="796">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87">
        <f t="shared" si="20"/>
        <v>0</v>
      </c>
      <c r="S42" s="796">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87">
        <f t="shared" si="20"/>
        <v>0</v>
      </c>
      <c r="S43" s="796">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87">
        <f t="shared" si="20"/>
        <v>0</v>
      </c>
      <c r="S44" s="796">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87">
        <f t="shared" si="20"/>
        <v>0</v>
      </c>
      <c r="S45" s="796">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87">
        <f t="shared" si="20"/>
        <v>0</v>
      </c>
      <c r="S46" s="796">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87">
        <f t="shared" si="20"/>
        <v>0</v>
      </c>
      <c r="S47" s="796">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87">
        <f t="shared" si="20"/>
        <v>0</v>
      </c>
      <c r="S48" s="796">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87">
        <f t="shared" si="20"/>
        <v>0</v>
      </c>
      <c r="S49" s="796">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87">
        <f t="shared" si="20"/>
        <v>0</v>
      </c>
      <c r="S50" s="796">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87">
        <f t="shared" si="20"/>
        <v>0</v>
      </c>
      <c r="S51" s="796">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87">
        <f t="shared" si="20"/>
        <v>0</v>
      </c>
      <c r="S52" s="796">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87">
        <f t="shared" si="20"/>
        <v>0</v>
      </c>
      <c r="S53" s="796">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87">
        <f t="shared" si="20"/>
        <v>0</v>
      </c>
      <c r="S54" s="796">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87">
        <f t="shared" si="20"/>
        <v>0</v>
      </c>
      <c r="S55" s="796">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87">
        <f t="shared" si="20"/>
        <v>0</v>
      </c>
      <c r="S56" s="796">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87">
        <f t="shared" si="20"/>
        <v>0</v>
      </c>
      <c r="S57" s="796">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87">
        <f t="shared" si="20"/>
        <v>0</v>
      </c>
      <c r="S58" s="796">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87">
        <f t="shared" si="20"/>
        <v>0</v>
      </c>
      <c r="S59" s="796">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87">
        <f t="shared" si="20"/>
        <v>0</v>
      </c>
      <c r="S60" s="796">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87">
        <f t="shared" si="20"/>
        <v>0</v>
      </c>
      <c r="S61" s="796">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87">
        <f t="shared" si="20"/>
        <v>0</v>
      </c>
      <c r="S62" s="796">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87">
        <f t="shared" si="20"/>
        <v>0</v>
      </c>
      <c r="S63" s="796">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87">
        <f t="shared" si="20"/>
        <v>0</v>
      </c>
      <c r="S64" s="796">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87">
        <f t="shared" si="20"/>
        <v>0</v>
      </c>
      <c r="S65" s="796">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87">
        <f t="shared" si="20"/>
        <v>0</v>
      </c>
      <c r="S66" s="796">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87">
        <f t="shared" si="20"/>
        <v>0</v>
      </c>
      <c r="S67" s="796">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87">
        <f t="shared" si="20"/>
        <v>0</v>
      </c>
      <c r="S68" s="796">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87">
        <f t="shared" si="20"/>
        <v>0</v>
      </c>
      <c r="S69" s="796">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87">
        <f t="shared" si="20"/>
        <v>0</v>
      </c>
      <c r="S70" s="796">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87">
        <f t="shared" si="20"/>
        <v>0</v>
      </c>
      <c r="S71" s="796">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87">
        <f t="shared" si="20"/>
        <v>0</v>
      </c>
      <c r="S72" s="796">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87">
        <f t="shared" si="20"/>
        <v>0</v>
      </c>
      <c r="S73" s="796">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87">
        <f t="shared" si="20"/>
        <v>0</v>
      </c>
      <c r="S74" s="796">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87">
        <f t="shared" si="20"/>
        <v>0</v>
      </c>
      <c r="S75" s="796">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87">
        <f t="shared" si="20"/>
        <v>0</v>
      </c>
      <c r="S76" s="796">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87">
        <f t="shared" si="20"/>
        <v>0</v>
      </c>
      <c r="S77" s="796">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87">
        <f t="shared" si="20"/>
        <v>0</v>
      </c>
      <c r="S78" s="796">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87">
        <f t="shared" si="20"/>
        <v>0</v>
      </c>
      <c r="S79" s="796">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87">
        <f t="shared" si="20"/>
        <v>0</v>
      </c>
      <c r="S80" s="796">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87">
        <f t="shared" si="20"/>
        <v>0</v>
      </c>
      <c r="S81" s="796">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87">
        <f t="shared" si="20"/>
        <v>0</v>
      </c>
      <c r="S82" s="796">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87">
        <f t="shared" si="20"/>
        <v>0</v>
      </c>
      <c r="S83" s="796">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87">
        <f t="shared" si="20"/>
        <v>0</v>
      </c>
      <c r="S84" s="796">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87">
        <f t="shared" si="20"/>
        <v>0</v>
      </c>
      <c r="S85" s="796">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87">
        <f t="shared" si="20"/>
        <v>0</v>
      </c>
      <c r="S86" s="796">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87">
        <f t="shared" si="20"/>
        <v>0</v>
      </c>
      <c r="S87" s="796">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87">
        <f t="shared" si="20"/>
        <v>0</v>
      </c>
      <c r="S88" s="796">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87">
        <f t="shared" si="20"/>
        <v>0</v>
      </c>
      <c r="S89" s="796">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7">
        <f t="shared" ref="R90:R153" si="31">IF(B90="",0,ROUND($R$24*C90*E90*G90*I90*K90*M90*O90*Q90,0))</f>
        <v>0</v>
      </c>
      <c r="S90" s="796">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87">
        <f t="shared" si="31"/>
        <v>0</v>
      </c>
      <c r="S91" s="796">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87">
        <f t="shared" si="31"/>
        <v>0</v>
      </c>
      <c r="S92" s="796">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87">
        <f t="shared" si="31"/>
        <v>0</v>
      </c>
      <c r="S93" s="796">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87">
        <f t="shared" si="31"/>
        <v>0</v>
      </c>
      <c r="S94" s="796">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87">
        <f t="shared" si="31"/>
        <v>0</v>
      </c>
      <c r="S95" s="796">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87">
        <f t="shared" si="31"/>
        <v>0</v>
      </c>
      <c r="S96" s="796">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87">
        <f t="shared" si="31"/>
        <v>0</v>
      </c>
      <c r="S97" s="796">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87">
        <f t="shared" si="31"/>
        <v>0</v>
      </c>
      <c r="S98" s="796">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87">
        <f t="shared" si="31"/>
        <v>0</v>
      </c>
      <c r="S99" s="796">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7">
        <f t="shared" si="31"/>
        <v>0</v>
      </c>
      <c r="S100" s="796">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7">
        <f t="shared" si="31"/>
        <v>0</v>
      </c>
      <c r="S101" s="796">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7">
        <f t="shared" si="31"/>
        <v>0</v>
      </c>
      <c r="S102" s="796">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7">
        <f t="shared" si="31"/>
        <v>0</v>
      </c>
      <c r="S103" s="796">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7">
        <f t="shared" si="31"/>
        <v>0</v>
      </c>
      <c r="S104" s="796">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7">
        <f t="shared" si="31"/>
        <v>0</v>
      </c>
      <c r="S105" s="796">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7">
        <f t="shared" si="31"/>
        <v>0</v>
      </c>
      <c r="S106" s="796">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7">
        <f t="shared" si="31"/>
        <v>0</v>
      </c>
      <c r="S107" s="796">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7">
        <f t="shared" si="31"/>
        <v>0</v>
      </c>
      <c r="S108" s="796">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7">
        <f t="shared" si="31"/>
        <v>0</v>
      </c>
      <c r="S109" s="796">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7">
        <f t="shared" si="31"/>
        <v>0</v>
      </c>
      <c r="S110" s="796">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7">
        <f t="shared" si="31"/>
        <v>0</v>
      </c>
      <c r="S111" s="796">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7">
        <f t="shared" si="31"/>
        <v>0</v>
      </c>
      <c r="S112" s="796">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7">
        <f t="shared" si="31"/>
        <v>0</v>
      </c>
      <c r="S113" s="796">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7">
        <f t="shared" si="31"/>
        <v>0</v>
      </c>
      <c r="S114" s="796">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7">
        <f t="shared" si="31"/>
        <v>0</v>
      </c>
      <c r="S115" s="796">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7">
        <f t="shared" si="31"/>
        <v>0</v>
      </c>
      <c r="S116" s="796">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7">
        <f t="shared" si="31"/>
        <v>0</v>
      </c>
      <c r="S117" s="796">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7">
        <f t="shared" si="31"/>
        <v>0</v>
      </c>
      <c r="S118" s="796">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7">
        <f t="shared" si="31"/>
        <v>0</v>
      </c>
      <c r="S119" s="796">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7">
        <f t="shared" si="31"/>
        <v>0</v>
      </c>
      <c r="S120" s="796">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7">
        <f t="shared" si="31"/>
        <v>0</v>
      </c>
      <c r="S121" s="796">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7">
        <f t="shared" si="31"/>
        <v>0</v>
      </c>
      <c r="S122" s="796">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7">
        <f t="shared" si="31"/>
        <v>0</v>
      </c>
      <c r="S123" s="796">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7">
        <f t="shared" si="31"/>
        <v>0</v>
      </c>
      <c r="S124" s="796">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7">
        <f t="shared" si="31"/>
        <v>0</v>
      </c>
      <c r="S125" s="796">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7">
        <f t="shared" si="31"/>
        <v>0</v>
      </c>
      <c r="S126" s="796">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7">
        <f t="shared" si="31"/>
        <v>0</v>
      </c>
      <c r="S127" s="796">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7">
        <f t="shared" si="31"/>
        <v>0</v>
      </c>
      <c r="S128" s="796">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7">
        <f t="shared" si="31"/>
        <v>0</v>
      </c>
      <c r="S129" s="796">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7">
        <f t="shared" si="31"/>
        <v>0</v>
      </c>
      <c r="S130" s="796">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7">
        <f t="shared" si="31"/>
        <v>0</v>
      </c>
      <c r="S131" s="796">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7">
        <f t="shared" si="31"/>
        <v>0</v>
      </c>
      <c r="S132" s="796">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7">
        <f t="shared" si="31"/>
        <v>0</v>
      </c>
      <c r="S133" s="796">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7">
        <f t="shared" si="31"/>
        <v>0</v>
      </c>
      <c r="S134" s="796">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7">
        <f t="shared" si="31"/>
        <v>0</v>
      </c>
      <c r="S135" s="796">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7">
        <f t="shared" si="31"/>
        <v>0</v>
      </c>
      <c r="S136" s="796">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7">
        <f t="shared" si="31"/>
        <v>0</v>
      </c>
      <c r="S137" s="796">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7">
        <f t="shared" si="31"/>
        <v>0</v>
      </c>
      <c r="S138" s="796">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7">
        <f t="shared" si="31"/>
        <v>0</v>
      </c>
      <c r="S139" s="796">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7">
        <f t="shared" si="31"/>
        <v>0</v>
      </c>
      <c r="S140" s="796">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7">
        <f t="shared" si="31"/>
        <v>0</v>
      </c>
      <c r="S141" s="796">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7">
        <f t="shared" si="31"/>
        <v>0</v>
      </c>
      <c r="S142" s="796">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7">
        <f t="shared" si="31"/>
        <v>0</v>
      </c>
      <c r="S143" s="796">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7">
        <f t="shared" si="31"/>
        <v>0</v>
      </c>
      <c r="S144" s="796">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7">
        <f t="shared" si="31"/>
        <v>0</v>
      </c>
      <c r="S145" s="796">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7">
        <f t="shared" si="31"/>
        <v>0</v>
      </c>
      <c r="S146" s="796">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7">
        <f t="shared" si="31"/>
        <v>0</v>
      </c>
      <c r="S147" s="796">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7">
        <f t="shared" si="31"/>
        <v>0</v>
      </c>
      <c r="S148" s="796">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7">
        <f t="shared" si="31"/>
        <v>0</v>
      </c>
      <c r="S149" s="796">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7">
        <f t="shared" si="31"/>
        <v>0</v>
      </c>
      <c r="S150" s="796">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7">
        <f t="shared" si="31"/>
        <v>0</v>
      </c>
      <c r="S151" s="796">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7">
        <f t="shared" si="31"/>
        <v>0</v>
      </c>
      <c r="S152" s="796">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7">
        <f t="shared" si="31"/>
        <v>0</v>
      </c>
      <c r="S153" s="796">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7">
        <f t="shared" ref="R154:R217" si="41">IF(B154="",0,ROUND($R$24*C154*E154*G154*I154*K154*M154*O154*Q154,0))</f>
        <v>0</v>
      </c>
      <c r="S154" s="796">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7">
        <f t="shared" si="41"/>
        <v>0</v>
      </c>
      <c r="S155" s="796">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7">
        <f t="shared" si="41"/>
        <v>0</v>
      </c>
      <c r="S156" s="796">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7">
        <f t="shared" si="41"/>
        <v>0</v>
      </c>
      <c r="S157" s="796">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7">
        <f t="shared" si="41"/>
        <v>0</v>
      </c>
      <c r="S158" s="796">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7">
        <f t="shared" si="41"/>
        <v>0</v>
      </c>
      <c r="S159" s="796">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7">
        <f t="shared" si="41"/>
        <v>0</v>
      </c>
      <c r="S160" s="796">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7">
        <f t="shared" si="41"/>
        <v>0</v>
      </c>
      <c r="S161" s="796">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7">
        <f t="shared" si="41"/>
        <v>0</v>
      </c>
      <c r="S162" s="796">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7">
        <f t="shared" si="41"/>
        <v>0</v>
      </c>
      <c r="S163" s="796">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7">
        <f t="shared" si="41"/>
        <v>0</v>
      </c>
      <c r="S164" s="796">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7">
        <f t="shared" si="41"/>
        <v>0</v>
      </c>
      <c r="S165" s="796">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7">
        <f t="shared" si="41"/>
        <v>0</v>
      </c>
      <c r="S166" s="796">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7">
        <f t="shared" si="41"/>
        <v>0</v>
      </c>
      <c r="S167" s="796">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7">
        <f t="shared" si="41"/>
        <v>0</v>
      </c>
      <c r="S168" s="796">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7">
        <f t="shared" si="41"/>
        <v>0</v>
      </c>
      <c r="S169" s="796">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7">
        <f t="shared" si="41"/>
        <v>0</v>
      </c>
      <c r="S170" s="796">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7">
        <f t="shared" si="41"/>
        <v>0</v>
      </c>
      <c r="S171" s="796">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7">
        <f t="shared" si="41"/>
        <v>0</v>
      </c>
      <c r="S172" s="796">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7">
        <f t="shared" si="41"/>
        <v>0</v>
      </c>
      <c r="S173" s="796">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7">
        <f t="shared" si="41"/>
        <v>0</v>
      </c>
      <c r="S174" s="796">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7">
        <f t="shared" si="41"/>
        <v>0</v>
      </c>
      <c r="S175" s="796">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7">
        <f t="shared" si="41"/>
        <v>0</v>
      </c>
      <c r="S176" s="796">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7">
        <f t="shared" si="41"/>
        <v>0</v>
      </c>
      <c r="S177" s="796">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7">
        <f t="shared" si="41"/>
        <v>0</v>
      </c>
      <c r="S178" s="796">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7">
        <f t="shared" si="41"/>
        <v>0</v>
      </c>
      <c r="S179" s="796">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7">
        <f t="shared" si="41"/>
        <v>0</v>
      </c>
      <c r="S180" s="796">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7">
        <f t="shared" si="41"/>
        <v>0</v>
      </c>
      <c r="S181" s="796">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7">
        <f t="shared" si="41"/>
        <v>0</v>
      </c>
      <c r="S182" s="796">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7">
        <f t="shared" si="41"/>
        <v>0</v>
      </c>
      <c r="S183" s="796">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7">
        <f t="shared" si="41"/>
        <v>0</v>
      </c>
      <c r="S184" s="796">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7">
        <f t="shared" si="41"/>
        <v>0</v>
      </c>
      <c r="S185" s="796">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7">
        <f t="shared" si="41"/>
        <v>0</v>
      </c>
      <c r="S186" s="796">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7">
        <f t="shared" si="41"/>
        <v>0</v>
      </c>
      <c r="S187" s="796">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7">
        <f t="shared" si="41"/>
        <v>0</v>
      </c>
      <c r="S188" s="796">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7">
        <f t="shared" si="41"/>
        <v>0</v>
      </c>
      <c r="S189" s="796">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7">
        <f t="shared" si="41"/>
        <v>0</v>
      </c>
      <c r="S190" s="796">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7">
        <f t="shared" si="41"/>
        <v>0</v>
      </c>
      <c r="S191" s="796">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7">
        <f t="shared" si="41"/>
        <v>0</v>
      </c>
      <c r="S192" s="796">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7">
        <f t="shared" si="41"/>
        <v>0</v>
      </c>
      <c r="S193" s="796">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7">
        <f t="shared" si="41"/>
        <v>0</v>
      </c>
      <c r="S194" s="796">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7">
        <f t="shared" si="41"/>
        <v>0</v>
      </c>
      <c r="S195" s="796">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7">
        <f t="shared" si="41"/>
        <v>0</v>
      </c>
      <c r="S196" s="796">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7">
        <f t="shared" si="41"/>
        <v>0</v>
      </c>
      <c r="S197" s="796">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7">
        <f t="shared" si="41"/>
        <v>0</v>
      </c>
      <c r="S198" s="796">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7">
        <f t="shared" si="41"/>
        <v>0</v>
      </c>
      <c r="S199" s="796">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7">
        <f t="shared" si="41"/>
        <v>0</v>
      </c>
      <c r="S200" s="796">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7">
        <f t="shared" si="41"/>
        <v>0</v>
      </c>
      <c r="S201" s="796">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7">
        <f t="shared" si="41"/>
        <v>0</v>
      </c>
      <c r="S202" s="796">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7">
        <f t="shared" si="41"/>
        <v>0</v>
      </c>
      <c r="S203" s="796">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7">
        <f t="shared" si="41"/>
        <v>0</v>
      </c>
      <c r="S204" s="796">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7">
        <f t="shared" si="41"/>
        <v>0</v>
      </c>
      <c r="S205" s="796">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7">
        <f t="shared" si="41"/>
        <v>0</v>
      </c>
      <c r="S206" s="796">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7">
        <f t="shared" si="41"/>
        <v>0</v>
      </c>
      <c r="S207" s="796">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7">
        <f t="shared" si="41"/>
        <v>0</v>
      </c>
      <c r="S208" s="796">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7">
        <f t="shared" si="41"/>
        <v>0</v>
      </c>
      <c r="S209" s="796">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7">
        <f t="shared" si="41"/>
        <v>0</v>
      </c>
      <c r="S210" s="796">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7">
        <f t="shared" si="41"/>
        <v>0</v>
      </c>
      <c r="S211" s="796">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7">
        <f t="shared" si="41"/>
        <v>0</v>
      </c>
      <c r="S212" s="796">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7">
        <f t="shared" si="41"/>
        <v>0</v>
      </c>
      <c r="S213" s="796">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7">
        <f t="shared" si="41"/>
        <v>0</v>
      </c>
      <c r="S214" s="796">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7">
        <f t="shared" si="41"/>
        <v>0</v>
      </c>
      <c r="S215" s="796">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7">
        <f t="shared" si="41"/>
        <v>0</v>
      </c>
      <c r="S216" s="796">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7">
        <f t="shared" si="41"/>
        <v>0</v>
      </c>
      <c r="S217" s="796">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7">
        <f t="shared" ref="R218:R281" si="51">IF(B218="",0,ROUND($R$24*C218*E218*G218*I218*K218*M218*O218*Q218,0))</f>
        <v>0</v>
      </c>
      <c r="S218" s="796">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7">
        <f t="shared" si="51"/>
        <v>0</v>
      </c>
      <c r="S219" s="796">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7">
        <f t="shared" si="51"/>
        <v>0</v>
      </c>
      <c r="S220" s="796">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7">
        <f t="shared" si="51"/>
        <v>0</v>
      </c>
      <c r="S221" s="796">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7">
        <f t="shared" si="51"/>
        <v>0</v>
      </c>
      <c r="S222" s="796">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7">
        <f t="shared" si="51"/>
        <v>0</v>
      </c>
      <c r="S223" s="796">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7">
        <f t="shared" si="51"/>
        <v>0</v>
      </c>
      <c r="S224" s="796">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7">
        <f t="shared" si="51"/>
        <v>0</v>
      </c>
      <c r="S225" s="796">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7">
        <f t="shared" si="51"/>
        <v>0</v>
      </c>
      <c r="S226" s="796">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7">
        <f t="shared" si="51"/>
        <v>0</v>
      </c>
      <c r="S227" s="796">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7">
        <f t="shared" si="51"/>
        <v>0</v>
      </c>
      <c r="S228" s="796">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7">
        <f t="shared" si="51"/>
        <v>0</v>
      </c>
      <c r="S229" s="796">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7">
        <f t="shared" si="51"/>
        <v>0</v>
      </c>
      <c r="S230" s="796">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7">
        <f t="shared" si="51"/>
        <v>0</v>
      </c>
      <c r="S231" s="796">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7">
        <f t="shared" si="51"/>
        <v>0</v>
      </c>
      <c r="S232" s="796">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7">
        <f t="shared" si="51"/>
        <v>0</v>
      </c>
      <c r="S233" s="796">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7">
        <f t="shared" si="51"/>
        <v>0</v>
      </c>
      <c r="S234" s="796">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7">
        <f t="shared" si="51"/>
        <v>0</v>
      </c>
      <c r="S235" s="796">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7">
        <f t="shared" si="51"/>
        <v>0</v>
      </c>
      <c r="S236" s="796">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7">
        <f t="shared" si="51"/>
        <v>0</v>
      </c>
      <c r="S237" s="796">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7">
        <f t="shared" si="51"/>
        <v>0</v>
      </c>
      <c r="S238" s="796">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7">
        <f t="shared" si="51"/>
        <v>0</v>
      </c>
      <c r="S239" s="796">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7">
        <f t="shared" si="51"/>
        <v>0</v>
      </c>
      <c r="S240" s="796">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7">
        <f t="shared" si="51"/>
        <v>0</v>
      </c>
      <c r="S241" s="796">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7">
        <f t="shared" si="51"/>
        <v>0</v>
      </c>
      <c r="S242" s="796">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7">
        <f t="shared" si="51"/>
        <v>0</v>
      </c>
      <c r="S243" s="796">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7">
        <f t="shared" si="51"/>
        <v>0</v>
      </c>
      <c r="S244" s="796">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7">
        <f t="shared" si="51"/>
        <v>0</v>
      </c>
      <c r="S245" s="796">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7">
        <f t="shared" si="51"/>
        <v>0</v>
      </c>
      <c r="S246" s="796">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7">
        <f t="shared" si="51"/>
        <v>0</v>
      </c>
      <c r="S247" s="796">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7">
        <f t="shared" si="51"/>
        <v>0</v>
      </c>
      <c r="S248" s="796">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7">
        <f t="shared" si="51"/>
        <v>0</v>
      </c>
      <c r="S249" s="796">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7">
        <f t="shared" si="51"/>
        <v>0</v>
      </c>
      <c r="S250" s="796">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7">
        <f t="shared" si="51"/>
        <v>0</v>
      </c>
      <c r="S251" s="796">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7">
        <f t="shared" si="51"/>
        <v>0</v>
      </c>
      <c r="S252" s="796">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7">
        <f t="shared" si="51"/>
        <v>0</v>
      </c>
      <c r="S253" s="796">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7">
        <f t="shared" si="51"/>
        <v>0</v>
      </c>
      <c r="S254" s="796">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7">
        <f t="shared" si="51"/>
        <v>0</v>
      </c>
      <c r="S255" s="796">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7">
        <f t="shared" si="51"/>
        <v>0</v>
      </c>
      <c r="S256" s="796">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7">
        <f t="shared" si="51"/>
        <v>0</v>
      </c>
      <c r="S257" s="796">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7">
        <f t="shared" si="51"/>
        <v>0</v>
      </c>
      <c r="S258" s="796">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7">
        <f t="shared" si="51"/>
        <v>0</v>
      </c>
      <c r="S259" s="796">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7">
        <f t="shared" si="51"/>
        <v>0</v>
      </c>
      <c r="S260" s="796">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7">
        <f t="shared" si="51"/>
        <v>0</v>
      </c>
      <c r="S261" s="796">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7">
        <f t="shared" si="51"/>
        <v>0</v>
      </c>
      <c r="S262" s="796">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7">
        <f t="shared" si="51"/>
        <v>0</v>
      </c>
      <c r="S263" s="796">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7">
        <f t="shared" si="51"/>
        <v>0</v>
      </c>
      <c r="S264" s="796">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7">
        <f t="shared" si="51"/>
        <v>0</v>
      </c>
      <c r="S265" s="796">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7">
        <f t="shared" si="51"/>
        <v>0</v>
      </c>
      <c r="S266" s="796">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7">
        <f t="shared" si="51"/>
        <v>0</v>
      </c>
      <c r="S267" s="796">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7">
        <f t="shared" si="51"/>
        <v>0</v>
      </c>
      <c r="S268" s="796">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7">
        <f t="shared" si="51"/>
        <v>0</v>
      </c>
      <c r="S269" s="796">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7">
        <f t="shared" si="51"/>
        <v>0</v>
      </c>
      <c r="S270" s="796">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7">
        <f t="shared" si="51"/>
        <v>0</v>
      </c>
      <c r="S271" s="796">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7">
        <f t="shared" si="51"/>
        <v>0</v>
      </c>
      <c r="S272" s="796">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7">
        <f t="shared" si="51"/>
        <v>0</v>
      </c>
      <c r="S273" s="796">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7">
        <f t="shared" si="51"/>
        <v>0</v>
      </c>
      <c r="S274" s="796">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7">
        <f t="shared" si="51"/>
        <v>0</v>
      </c>
      <c r="S275" s="796">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7">
        <f t="shared" si="51"/>
        <v>0</v>
      </c>
      <c r="S276" s="796">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7">
        <f t="shared" si="51"/>
        <v>0</v>
      </c>
      <c r="S277" s="796">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7">
        <f t="shared" si="51"/>
        <v>0</v>
      </c>
      <c r="S278" s="796">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7">
        <f t="shared" si="51"/>
        <v>0</v>
      </c>
      <c r="S279" s="796">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7">
        <f t="shared" si="51"/>
        <v>0</v>
      </c>
      <c r="S280" s="796">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7">
        <f t="shared" si="51"/>
        <v>0</v>
      </c>
      <c r="S281" s="796">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7">
        <f t="shared" ref="R282:R345" si="61">IF(B282="",0,ROUND($R$24*C282*E282*G282*I282*K282*M282*O282*Q282,0))</f>
        <v>0</v>
      </c>
      <c r="S282" s="796">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7">
        <f t="shared" si="61"/>
        <v>0</v>
      </c>
      <c r="S283" s="796">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7">
        <f t="shared" si="61"/>
        <v>0</v>
      </c>
      <c r="S284" s="796">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7">
        <f t="shared" si="61"/>
        <v>0</v>
      </c>
      <c r="S285" s="796">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7">
        <f t="shared" si="61"/>
        <v>0</v>
      </c>
      <c r="S286" s="796">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7">
        <f t="shared" si="61"/>
        <v>0</v>
      </c>
      <c r="S287" s="796">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7">
        <f t="shared" si="61"/>
        <v>0</v>
      </c>
      <c r="S288" s="796">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7">
        <f t="shared" si="61"/>
        <v>0</v>
      </c>
      <c r="S289" s="796">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7">
        <f t="shared" si="61"/>
        <v>0</v>
      </c>
      <c r="S290" s="796">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7">
        <f t="shared" si="61"/>
        <v>0</v>
      </c>
      <c r="S291" s="796">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7">
        <f t="shared" si="61"/>
        <v>0</v>
      </c>
      <c r="S292" s="796">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7">
        <f t="shared" si="61"/>
        <v>0</v>
      </c>
      <c r="S293" s="796">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7">
        <f t="shared" si="61"/>
        <v>0</v>
      </c>
      <c r="S294" s="796">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7">
        <f t="shared" si="61"/>
        <v>0</v>
      </c>
      <c r="S295" s="796">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7">
        <f t="shared" si="61"/>
        <v>0</v>
      </c>
      <c r="S296" s="796">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7">
        <f t="shared" si="61"/>
        <v>0</v>
      </c>
      <c r="S297" s="796">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7">
        <f t="shared" si="61"/>
        <v>0</v>
      </c>
      <c r="S298" s="796">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7">
        <f t="shared" si="61"/>
        <v>0</v>
      </c>
      <c r="S299" s="796">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7">
        <f t="shared" si="61"/>
        <v>0</v>
      </c>
      <c r="S300" s="796">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7">
        <f t="shared" si="61"/>
        <v>0</v>
      </c>
      <c r="S301" s="796">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7">
        <f t="shared" si="61"/>
        <v>0</v>
      </c>
      <c r="S302" s="796">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7">
        <f t="shared" si="61"/>
        <v>0</v>
      </c>
      <c r="S303" s="796">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7">
        <f t="shared" si="61"/>
        <v>0</v>
      </c>
      <c r="S304" s="796">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7">
        <f t="shared" si="61"/>
        <v>0</v>
      </c>
      <c r="S305" s="796">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7">
        <f t="shared" si="61"/>
        <v>0</v>
      </c>
      <c r="S306" s="796">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7">
        <f t="shared" si="61"/>
        <v>0</v>
      </c>
      <c r="S307" s="796">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7">
        <f t="shared" si="61"/>
        <v>0</v>
      </c>
      <c r="S308" s="796">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7">
        <f t="shared" si="61"/>
        <v>0</v>
      </c>
      <c r="S309" s="796">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7">
        <f t="shared" si="61"/>
        <v>0</v>
      </c>
      <c r="S310" s="796">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7">
        <f t="shared" si="61"/>
        <v>0</v>
      </c>
      <c r="S311" s="796">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7">
        <f t="shared" si="61"/>
        <v>0</v>
      </c>
      <c r="S312" s="796">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7">
        <f t="shared" si="61"/>
        <v>0</v>
      </c>
      <c r="S313" s="796">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7">
        <f t="shared" si="61"/>
        <v>0</v>
      </c>
      <c r="S314" s="796">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7">
        <f t="shared" si="61"/>
        <v>0</v>
      </c>
      <c r="S315" s="796">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7">
        <f t="shared" si="61"/>
        <v>0</v>
      </c>
      <c r="S316" s="796">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7">
        <f t="shared" si="61"/>
        <v>0</v>
      </c>
      <c r="S317" s="796">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7">
        <f t="shared" si="61"/>
        <v>0</v>
      </c>
      <c r="S318" s="796">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7">
        <f t="shared" si="61"/>
        <v>0</v>
      </c>
      <c r="S319" s="796">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7">
        <f t="shared" si="61"/>
        <v>0</v>
      </c>
      <c r="S320" s="796">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7">
        <f t="shared" si="61"/>
        <v>0</v>
      </c>
      <c r="S321" s="796">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7">
        <f t="shared" si="61"/>
        <v>0</v>
      </c>
      <c r="S322" s="796">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7">
        <f t="shared" si="61"/>
        <v>0</v>
      </c>
      <c r="S323" s="796">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7">
        <f t="shared" si="61"/>
        <v>0</v>
      </c>
      <c r="S324" s="796">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7">
        <f t="shared" si="61"/>
        <v>0</v>
      </c>
      <c r="S325" s="796">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7">
        <f t="shared" si="61"/>
        <v>0</v>
      </c>
      <c r="S326" s="796">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7">
        <f t="shared" si="61"/>
        <v>0</v>
      </c>
      <c r="S327" s="796">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7">
        <f t="shared" si="61"/>
        <v>0</v>
      </c>
      <c r="S328" s="796">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7">
        <f t="shared" si="61"/>
        <v>0</v>
      </c>
      <c r="S329" s="796">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7">
        <f t="shared" si="61"/>
        <v>0</v>
      </c>
      <c r="S330" s="796">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7">
        <f t="shared" si="61"/>
        <v>0</v>
      </c>
      <c r="S331" s="796">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7">
        <f t="shared" si="61"/>
        <v>0</v>
      </c>
      <c r="S332" s="796">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7">
        <f t="shared" si="61"/>
        <v>0</v>
      </c>
      <c r="S333" s="796">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7">
        <f t="shared" si="61"/>
        <v>0</v>
      </c>
      <c r="S334" s="796">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7">
        <f t="shared" si="61"/>
        <v>0</v>
      </c>
      <c r="S335" s="796">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7">
        <f t="shared" si="61"/>
        <v>0</v>
      </c>
      <c r="S336" s="796">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7">
        <f t="shared" si="61"/>
        <v>0</v>
      </c>
      <c r="S337" s="796">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7">
        <f t="shared" si="61"/>
        <v>0</v>
      </c>
      <c r="S338" s="796">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7">
        <f t="shared" si="61"/>
        <v>0</v>
      </c>
      <c r="S339" s="796">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7">
        <f t="shared" si="61"/>
        <v>0</v>
      </c>
      <c r="S340" s="796">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7">
        <f t="shared" si="61"/>
        <v>0</v>
      </c>
      <c r="S341" s="796">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7">
        <f t="shared" si="61"/>
        <v>0</v>
      </c>
      <c r="S342" s="796">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7">
        <f t="shared" si="61"/>
        <v>0</v>
      </c>
      <c r="S343" s="796">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7">
        <f t="shared" si="61"/>
        <v>0</v>
      </c>
      <c r="S344" s="796">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7">
        <f t="shared" si="61"/>
        <v>0</v>
      </c>
      <c r="S345" s="796">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7">
        <f t="shared" ref="R346:R409" si="72">IF(B346="",0,ROUND($R$24*C346*E346*G346*I346*K346*M346*O346*Q346,0))</f>
        <v>0</v>
      </c>
      <c r="S346" s="796">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7">
        <f t="shared" si="72"/>
        <v>0</v>
      </c>
      <c r="S347" s="796">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7">
        <f t="shared" si="72"/>
        <v>0</v>
      </c>
      <c r="S348" s="796">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7">
        <f t="shared" si="72"/>
        <v>0</v>
      </c>
      <c r="S349" s="796">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7">
        <f t="shared" si="72"/>
        <v>0</v>
      </c>
      <c r="S350" s="796">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7">
        <f t="shared" si="72"/>
        <v>0</v>
      </c>
      <c r="S351" s="796">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7">
        <f t="shared" si="72"/>
        <v>0</v>
      </c>
      <c r="S352" s="796">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7">
        <f t="shared" si="72"/>
        <v>0</v>
      </c>
      <c r="S353" s="796">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7">
        <f t="shared" si="72"/>
        <v>0</v>
      </c>
      <c r="S354" s="796">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7">
        <f t="shared" si="72"/>
        <v>0</v>
      </c>
      <c r="S355" s="796">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7">
        <f t="shared" si="72"/>
        <v>0</v>
      </c>
      <c r="S356" s="796">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7">
        <f t="shared" si="72"/>
        <v>0</v>
      </c>
      <c r="S357" s="796">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7">
        <f t="shared" si="72"/>
        <v>0</v>
      </c>
      <c r="S358" s="796">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7">
        <f t="shared" si="72"/>
        <v>0</v>
      </c>
      <c r="S359" s="796">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7">
        <f t="shared" si="72"/>
        <v>0</v>
      </c>
      <c r="S360" s="796">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7">
        <f t="shared" si="72"/>
        <v>0</v>
      </c>
      <c r="S361" s="796">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7">
        <f t="shared" si="72"/>
        <v>0</v>
      </c>
      <c r="S362" s="796">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7">
        <f t="shared" si="72"/>
        <v>0</v>
      </c>
      <c r="S363" s="796">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7">
        <f t="shared" si="72"/>
        <v>0</v>
      </c>
      <c r="S364" s="796">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7">
        <f t="shared" si="72"/>
        <v>0</v>
      </c>
      <c r="S365" s="796">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7">
        <f t="shared" si="72"/>
        <v>0</v>
      </c>
      <c r="S366" s="796">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7">
        <f t="shared" si="72"/>
        <v>0</v>
      </c>
      <c r="S367" s="796">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7">
        <f t="shared" si="72"/>
        <v>0</v>
      </c>
      <c r="S368" s="796">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7">
        <f t="shared" si="72"/>
        <v>0</v>
      </c>
      <c r="S369" s="796">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7">
        <f t="shared" si="72"/>
        <v>0</v>
      </c>
      <c r="S370" s="796">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7">
        <f t="shared" si="72"/>
        <v>0</v>
      </c>
      <c r="S371" s="796">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7">
        <f t="shared" si="72"/>
        <v>0</v>
      </c>
      <c r="S372" s="796">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7">
        <f t="shared" si="72"/>
        <v>0</v>
      </c>
      <c r="S373" s="796">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7">
        <f t="shared" si="72"/>
        <v>0</v>
      </c>
      <c r="S374" s="796">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7">
        <f t="shared" si="72"/>
        <v>0</v>
      </c>
      <c r="S375" s="796">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7">
        <f t="shared" si="72"/>
        <v>0</v>
      </c>
      <c r="S376" s="796">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7">
        <f t="shared" si="72"/>
        <v>0</v>
      </c>
      <c r="S377" s="796">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7">
        <f t="shared" si="72"/>
        <v>0</v>
      </c>
      <c r="S378" s="796">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7">
        <f t="shared" si="72"/>
        <v>0</v>
      </c>
      <c r="S379" s="796">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7">
        <f t="shared" si="72"/>
        <v>0</v>
      </c>
      <c r="S380" s="796">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7">
        <f t="shared" si="72"/>
        <v>0</v>
      </c>
      <c r="S381" s="796">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7">
        <f t="shared" si="72"/>
        <v>0</v>
      </c>
      <c r="S382" s="796">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7">
        <f t="shared" si="72"/>
        <v>0</v>
      </c>
      <c r="S383" s="796">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7">
        <f t="shared" si="72"/>
        <v>0</v>
      </c>
      <c r="S384" s="796">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7">
        <f t="shared" si="72"/>
        <v>0</v>
      </c>
      <c r="S385" s="796">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7">
        <f t="shared" si="72"/>
        <v>0</v>
      </c>
      <c r="S386" s="796">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7">
        <f t="shared" si="72"/>
        <v>0</v>
      </c>
      <c r="S387" s="796">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7">
        <f t="shared" si="72"/>
        <v>0</v>
      </c>
      <c r="S388" s="796">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7">
        <f t="shared" si="72"/>
        <v>0</v>
      </c>
      <c r="S389" s="796">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7">
        <f t="shared" si="72"/>
        <v>0</v>
      </c>
      <c r="S390" s="796">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7">
        <f t="shared" si="72"/>
        <v>0</v>
      </c>
      <c r="S391" s="796">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7">
        <f t="shared" si="72"/>
        <v>0</v>
      </c>
      <c r="S392" s="796">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7">
        <f t="shared" si="72"/>
        <v>0</v>
      </c>
      <c r="S393" s="796">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7">
        <f t="shared" si="72"/>
        <v>0</v>
      </c>
      <c r="S394" s="796">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7">
        <f t="shared" si="72"/>
        <v>0</v>
      </c>
      <c r="S395" s="796">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7">
        <f t="shared" si="72"/>
        <v>0</v>
      </c>
      <c r="S396" s="796">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7">
        <f t="shared" si="72"/>
        <v>0</v>
      </c>
      <c r="S397" s="796">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7">
        <f t="shared" si="72"/>
        <v>0</v>
      </c>
      <c r="S398" s="796">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7">
        <f t="shared" si="72"/>
        <v>0</v>
      </c>
      <c r="S399" s="796">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7">
        <f t="shared" si="72"/>
        <v>0</v>
      </c>
      <c r="S400" s="796">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7">
        <f t="shared" si="72"/>
        <v>0</v>
      </c>
      <c r="S401" s="796">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7">
        <f t="shared" si="72"/>
        <v>0</v>
      </c>
      <c r="S402" s="796">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7">
        <f t="shared" si="72"/>
        <v>0</v>
      </c>
      <c r="S403" s="796">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7">
        <f t="shared" si="72"/>
        <v>0</v>
      </c>
      <c r="S404" s="796">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7">
        <f t="shared" si="72"/>
        <v>0</v>
      </c>
      <c r="S405" s="796">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7">
        <f t="shared" si="72"/>
        <v>0</v>
      </c>
      <c r="S406" s="796">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7">
        <f t="shared" si="72"/>
        <v>0</v>
      </c>
      <c r="S407" s="796">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7">
        <f t="shared" si="72"/>
        <v>0</v>
      </c>
      <c r="S408" s="796">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7">
        <f t="shared" si="72"/>
        <v>0</v>
      </c>
      <c r="S409" s="796">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7">
        <f t="shared" ref="R410:R473" si="82">IF(B410="",0,ROUND($R$24*C410*E410*G410*I410*K410*M410*O410*Q410,0))</f>
        <v>0</v>
      </c>
      <c r="S410" s="796">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7">
        <f t="shared" si="82"/>
        <v>0</v>
      </c>
      <c r="S411" s="796">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7">
        <f t="shared" si="82"/>
        <v>0</v>
      </c>
      <c r="S412" s="796">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7">
        <f t="shared" si="82"/>
        <v>0</v>
      </c>
      <c r="S413" s="796">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7">
        <f t="shared" si="82"/>
        <v>0</v>
      </c>
      <c r="S414" s="796">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7">
        <f t="shared" si="82"/>
        <v>0</v>
      </c>
      <c r="S415" s="796">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7">
        <f t="shared" si="82"/>
        <v>0</v>
      </c>
      <c r="S416" s="796">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7">
        <f t="shared" si="82"/>
        <v>0</v>
      </c>
      <c r="S417" s="796">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7">
        <f t="shared" si="82"/>
        <v>0</v>
      </c>
      <c r="S418" s="796">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7">
        <f t="shared" si="82"/>
        <v>0</v>
      </c>
      <c r="S419" s="796">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7">
        <f t="shared" si="82"/>
        <v>0</v>
      </c>
      <c r="S420" s="796">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7">
        <f t="shared" si="82"/>
        <v>0</v>
      </c>
      <c r="S421" s="796">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7">
        <f t="shared" si="82"/>
        <v>0</v>
      </c>
      <c r="S422" s="796">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7">
        <f t="shared" si="82"/>
        <v>0</v>
      </c>
      <c r="S423" s="796">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7">
        <f t="shared" si="82"/>
        <v>0</v>
      </c>
      <c r="S424" s="796">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7">
        <f t="shared" si="82"/>
        <v>0</v>
      </c>
      <c r="S425" s="796">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7">
        <f t="shared" si="82"/>
        <v>0</v>
      </c>
      <c r="S426" s="796">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7">
        <f t="shared" si="82"/>
        <v>0</v>
      </c>
      <c r="S427" s="796">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7">
        <f t="shared" si="82"/>
        <v>0</v>
      </c>
      <c r="S428" s="796">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7">
        <f t="shared" si="82"/>
        <v>0</v>
      </c>
      <c r="S429" s="796">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7">
        <f t="shared" si="82"/>
        <v>0</v>
      </c>
      <c r="S430" s="796">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7">
        <f t="shared" si="82"/>
        <v>0</v>
      </c>
      <c r="S431" s="796">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7">
        <f t="shared" si="82"/>
        <v>0</v>
      </c>
      <c r="S432" s="796">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7">
        <f t="shared" si="82"/>
        <v>0</v>
      </c>
      <c r="S433" s="796">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7">
        <f t="shared" si="82"/>
        <v>0</v>
      </c>
      <c r="S434" s="796">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7">
        <f t="shared" si="82"/>
        <v>0</v>
      </c>
      <c r="S435" s="796">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7">
        <f t="shared" si="82"/>
        <v>0</v>
      </c>
      <c r="S436" s="796">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7">
        <f t="shared" si="82"/>
        <v>0</v>
      </c>
      <c r="S437" s="796">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7">
        <f t="shared" si="82"/>
        <v>0</v>
      </c>
      <c r="S438" s="796">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7">
        <f t="shared" si="82"/>
        <v>0</v>
      </c>
      <c r="S439" s="796">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7">
        <f t="shared" si="82"/>
        <v>0</v>
      </c>
      <c r="S440" s="796">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7">
        <f t="shared" si="82"/>
        <v>0</v>
      </c>
      <c r="S441" s="796">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7">
        <f t="shared" si="82"/>
        <v>0</v>
      </c>
      <c r="S442" s="796">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7">
        <f t="shared" si="82"/>
        <v>0</v>
      </c>
      <c r="S443" s="796">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7">
        <f t="shared" si="82"/>
        <v>0</v>
      </c>
      <c r="S444" s="796">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7">
        <f t="shared" si="82"/>
        <v>0</v>
      </c>
      <c r="S445" s="796">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7">
        <f t="shared" si="82"/>
        <v>0</v>
      </c>
      <c r="S446" s="796">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7">
        <f t="shared" si="82"/>
        <v>0</v>
      </c>
      <c r="S447" s="796">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7">
        <f t="shared" si="82"/>
        <v>0</v>
      </c>
      <c r="S448" s="796">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7">
        <f t="shared" si="82"/>
        <v>0</v>
      </c>
      <c r="S449" s="796">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7">
        <f t="shared" si="82"/>
        <v>0</v>
      </c>
      <c r="S450" s="796">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7">
        <f t="shared" si="82"/>
        <v>0</v>
      </c>
      <c r="S451" s="796">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7">
        <f t="shared" si="82"/>
        <v>0</v>
      </c>
      <c r="S452" s="796">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7">
        <f t="shared" si="82"/>
        <v>0</v>
      </c>
      <c r="S453" s="796">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7">
        <f t="shared" si="82"/>
        <v>0</v>
      </c>
      <c r="S454" s="796">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7">
        <f t="shared" si="82"/>
        <v>0</v>
      </c>
      <c r="S455" s="796">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7">
        <f t="shared" si="82"/>
        <v>0</v>
      </c>
      <c r="S456" s="796">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7">
        <f t="shared" si="82"/>
        <v>0</v>
      </c>
      <c r="S457" s="796">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7">
        <f t="shared" si="82"/>
        <v>0</v>
      </c>
      <c r="S458" s="796">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7">
        <f t="shared" si="82"/>
        <v>0</v>
      </c>
      <c r="S459" s="796">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7">
        <f t="shared" si="82"/>
        <v>0</v>
      </c>
      <c r="S460" s="796">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7">
        <f t="shared" si="82"/>
        <v>0</v>
      </c>
      <c r="S461" s="796">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7">
        <f t="shared" si="82"/>
        <v>0</v>
      </c>
      <c r="S462" s="796">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7">
        <f t="shared" si="82"/>
        <v>0</v>
      </c>
      <c r="S463" s="796">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7">
        <f t="shared" si="82"/>
        <v>0</v>
      </c>
      <c r="S464" s="796">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7">
        <f t="shared" si="82"/>
        <v>0</v>
      </c>
      <c r="S465" s="796">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7">
        <f t="shared" si="82"/>
        <v>0</v>
      </c>
      <c r="S466" s="796">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7">
        <f t="shared" si="82"/>
        <v>0</v>
      </c>
      <c r="S467" s="796">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7">
        <f t="shared" si="82"/>
        <v>0</v>
      </c>
      <c r="S468" s="796">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7">
        <f t="shared" si="82"/>
        <v>0</v>
      </c>
      <c r="S469" s="796">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7">
        <f t="shared" si="82"/>
        <v>0</v>
      </c>
      <c r="S470" s="796">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7">
        <f t="shared" si="82"/>
        <v>0</v>
      </c>
      <c r="S471" s="796">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7">
        <f t="shared" si="82"/>
        <v>0</v>
      </c>
      <c r="S472" s="796">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7">
        <f t="shared" si="82"/>
        <v>0</v>
      </c>
      <c r="S473" s="796">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7">
        <f t="shared" ref="R474:R524" si="93">IF(B474="",0,ROUND($R$24*C474*E474*G474*I474*K474*M474*O474*Q474,0))</f>
        <v>0</v>
      </c>
      <c r="S474" s="796">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7">
        <f t="shared" si="93"/>
        <v>0</v>
      </c>
      <c r="S475" s="796">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7">
        <f t="shared" si="93"/>
        <v>0</v>
      </c>
      <c r="S476" s="796">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7">
        <f t="shared" si="93"/>
        <v>0</v>
      </c>
      <c r="S477" s="796">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7">
        <f t="shared" si="93"/>
        <v>0</v>
      </c>
      <c r="S478" s="796">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7">
        <f t="shared" si="93"/>
        <v>0</v>
      </c>
      <c r="S479" s="796">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7">
        <f t="shared" si="93"/>
        <v>0</v>
      </c>
      <c r="S480" s="796">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7">
        <f t="shared" si="93"/>
        <v>0</v>
      </c>
      <c r="S481" s="796">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7">
        <f t="shared" si="93"/>
        <v>0</v>
      </c>
      <c r="S482" s="796">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7">
        <f t="shared" si="93"/>
        <v>0</v>
      </c>
      <c r="S483" s="796">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7">
        <f t="shared" si="93"/>
        <v>0</v>
      </c>
      <c r="S484" s="796">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7">
        <f t="shared" si="93"/>
        <v>0</v>
      </c>
      <c r="S485" s="796">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7">
        <f t="shared" si="93"/>
        <v>0</v>
      </c>
      <c r="S486" s="796">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7">
        <f t="shared" si="93"/>
        <v>0</v>
      </c>
      <c r="S487" s="796">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7">
        <f t="shared" si="93"/>
        <v>0</v>
      </c>
      <c r="S488" s="796">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7">
        <f t="shared" si="93"/>
        <v>0</v>
      </c>
      <c r="S489" s="796">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7">
        <f t="shared" si="93"/>
        <v>0</v>
      </c>
      <c r="S490" s="796">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7">
        <f t="shared" si="93"/>
        <v>0</v>
      </c>
      <c r="S491" s="796">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7">
        <f t="shared" si="93"/>
        <v>0</v>
      </c>
      <c r="S492" s="796">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7">
        <f t="shared" si="93"/>
        <v>0</v>
      </c>
      <c r="S493" s="796">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7">
        <f t="shared" si="93"/>
        <v>0</v>
      </c>
      <c r="S494" s="796">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7">
        <f t="shared" si="93"/>
        <v>0</v>
      </c>
      <c r="S495" s="796">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7">
        <f t="shared" si="93"/>
        <v>0</v>
      </c>
      <c r="S496" s="796">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7">
        <f t="shared" si="93"/>
        <v>0</v>
      </c>
      <c r="S497" s="796">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7">
        <f t="shared" si="93"/>
        <v>0</v>
      </c>
      <c r="S498" s="796">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7">
        <f t="shared" si="93"/>
        <v>0</v>
      </c>
      <c r="S499" s="796">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7">
        <f t="shared" si="93"/>
        <v>0</v>
      </c>
      <c r="S500" s="796">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7">
        <f t="shared" si="93"/>
        <v>0</v>
      </c>
      <c r="S501" s="796">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7">
        <f t="shared" si="93"/>
        <v>0</v>
      </c>
      <c r="S502" s="796">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7">
        <f t="shared" si="93"/>
        <v>0</v>
      </c>
      <c r="S503" s="796">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7">
        <f t="shared" si="93"/>
        <v>0</v>
      </c>
      <c r="S504" s="796">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7">
        <f t="shared" si="93"/>
        <v>0</v>
      </c>
      <c r="S505" s="796">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7">
        <f t="shared" si="93"/>
        <v>0</v>
      </c>
      <c r="S506" s="796">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7">
        <f t="shared" si="93"/>
        <v>0</v>
      </c>
      <c r="S507" s="796">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7">
        <f t="shared" si="93"/>
        <v>0</v>
      </c>
      <c r="S508" s="796">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7">
        <f t="shared" si="93"/>
        <v>0</v>
      </c>
      <c r="S509" s="796">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7">
        <f t="shared" si="93"/>
        <v>0</v>
      </c>
      <c r="S510" s="796">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7">
        <f t="shared" si="93"/>
        <v>0</v>
      </c>
      <c r="S511" s="796">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7">
        <f t="shared" si="93"/>
        <v>0</v>
      </c>
      <c r="S512" s="796">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7">
        <f t="shared" si="93"/>
        <v>0</v>
      </c>
      <c r="S513" s="796">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7">
        <f t="shared" si="93"/>
        <v>0</v>
      </c>
      <c r="S514" s="796">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7">
        <f t="shared" si="93"/>
        <v>0</v>
      </c>
      <c r="S515" s="796">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7">
        <f t="shared" si="93"/>
        <v>0</v>
      </c>
      <c r="S516" s="796">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7">
        <f t="shared" si="93"/>
        <v>0</v>
      </c>
      <c r="S517" s="796">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7">
        <f t="shared" si="93"/>
        <v>0</v>
      </c>
      <c r="S518" s="796">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7">
        <f t="shared" si="93"/>
        <v>0</v>
      </c>
      <c r="S519" s="796">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7">
        <f t="shared" si="93"/>
        <v>0</v>
      </c>
      <c r="S520" s="796">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7">
        <f t="shared" si="93"/>
        <v>0</v>
      </c>
      <c r="S521" s="796">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7">
        <f t="shared" si="93"/>
        <v>0</v>
      </c>
      <c r="S522" s="796">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7">
        <f t="shared" si="93"/>
        <v>0</v>
      </c>
      <c r="S523" s="796">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受贵公司委托，我公司对出让国有建设用地使用权进行了预评估。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37378.1平方米。根据《建设工程规划许可证》[]、《出让合同》[]，估价对象规划建筑面积为136430.07平方米。</v>
      </c>
    </row>
    <row r="7" spans="1:4" ht="93.75">
      <c r="A7" s="2897" t="s">
        <v>2757</v>
      </c>
    </row>
    <row r="8" spans="1:4" ht="18.75">
      <c r="A8" s="1792" t="s">
        <v>1908</v>
      </c>
    </row>
    <row r="9" spans="1:4" ht="75">
      <c r="A9" s="179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2018年1月23日（评估专业人员勘察现场之日）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根据《国有土地使用证》[]，估价对象（分摊）出让国有建设用地使用权面积为37378.1平方米。根据《建设工程规划许可证》[]、《出让合同》[]，估价对象规划建筑面积为136430.07平方米。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9" t="s">
        <v>2758</v>
      </c>
    </row>
    <row r="24" spans="1:1" ht="18.75">
      <c r="A24" s="1789" t="s">
        <v>2079</v>
      </c>
    </row>
    <row r="25" spans="1:1" ht="75">
      <c r="A25" s="1789" t="str">
        <f>定义!C53</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2797</v>
      </c>
      <c r="C1" s="3027">
        <f>项目基本情况!D3</f>
        <v>43123</v>
      </c>
      <c r="H1" s="2961">
        <f>IF(C1&gt;C13,0,MATCH(C1,C$13:C$100,-1))+IF(SUMIF(C13:C100,C1,D13:D100)=0,13,12)</f>
        <v>13</v>
      </c>
      <c r="I1" s="2961">
        <f>MATCH(C2,H3:H7,1)+IF(SUMIF(H3:H7,C2,I3:I7)=0,2,1)</f>
        <v>6</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2828</v>
      </c>
      <c r="C2" s="3028">
        <f>'数据-取费表'!B22</f>
        <v>3.5</v>
      </c>
      <c r="D2" s="3023" t="s">
        <v>2798</v>
      </c>
      <c r="E2" s="3026">
        <f ca="1">INDIRECT("I"&amp;$I$1)/100</f>
        <v>4.7500000000000001E-2</v>
      </c>
      <c r="G2" s="2963"/>
      <c r="H2" s="2963"/>
      <c r="I2" s="2963" t="s">
        <v>2799</v>
      </c>
      <c r="K2" s="2963"/>
      <c r="L2" s="2963"/>
      <c r="M2" s="2963"/>
      <c r="N2" s="2963" t="s">
        <v>2800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2830</v>
      </c>
      <c r="C3" s="3025">
        <f>'数据-取费表'!B19</f>
        <v>0</v>
      </c>
      <c r="D3" s="3023" t="s">
        <v>2798</v>
      </c>
      <c r="E3" s="3026">
        <f ca="1">INDIRECT("J"&amp;$J$1)/100</f>
        <v>0</v>
      </c>
      <c r="G3" s="2965" t="s">
        <v>2801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2829</v>
      </c>
      <c r="C4" s="3026">
        <f ca="1">N4/100</f>
        <v>1.4999999999999999E-2</v>
      </c>
      <c r="G4" s="2971" t="s">
        <v>2802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2807</v>
      </c>
      <c r="C10" s="2990"/>
      <c r="D10" s="2990"/>
      <c r="E10" s="2990"/>
      <c r="F10" s="2990"/>
      <c r="G10" s="2990"/>
      <c r="H10" s="2990"/>
      <c r="I10" s="2964"/>
      <c r="J10" s="2964"/>
      <c r="K10" s="2990"/>
      <c r="L10" s="2991" t="s">
        <v>2808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2809</v>
      </c>
      <c r="C11" s="2995" t="s">
        <v>2810</v>
      </c>
      <c r="D11" s="2996" t="s">
        <v>2811</v>
      </c>
      <c r="E11" s="2997"/>
      <c r="F11" s="2996" t="s">
        <v>2812</v>
      </c>
      <c r="G11" s="2998"/>
      <c r="H11" s="2997"/>
      <c r="I11" s="2996" t="s">
        <v>2813</v>
      </c>
      <c r="J11" s="2997"/>
      <c r="K11" s="2993"/>
      <c r="L11" s="2994" t="s">
        <v>2809</v>
      </c>
      <c r="M11" s="2995" t="s">
        <v>2810</v>
      </c>
      <c r="N11" s="2994" t="s">
        <v>2814</v>
      </c>
      <c r="O11" s="2996" t="s">
        <v>2815</v>
      </c>
      <c r="P11" s="2998"/>
      <c r="Q11" s="2998"/>
      <c r="R11" s="2998"/>
      <c r="S11" s="2998"/>
      <c r="T11" s="2997"/>
      <c r="U11" s="2996" t="s">
        <v>2816</v>
      </c>
      <c r="V11" s="2998"/>
      <c r="W11" s="2997"/>
      <c r="X11" s="2994" t="s">
        <v>2817</v>
      </c>
      <c r="Y11" s="2994" t="s">
        <v>2818</v>
      </c>
      <c r="Z11" s="2994" t="s">
        <v>2819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2820</v>
      </c>
      <c r="E12" s="3003" t="s">
        <v>2821</v>
      </c>
      <c r="F12" s="3003" t="s">
        <v>2822</v>
      </c>
      <c r="G12" s="3003" t="s">
        <v>2823</v>
      </c>
      <c r="H12" s="3003" t="s">
        <v>2805</v>
      </c>
      <c r="I12" s="3004" t="s">
        <v>2824</v>
      </c>
      <c r="J12" s="3004" t="s">
        <v>2824</v>
      </c>
      <c r="K12" s="3000"/>
      <c r="L12" s="3001"/>
      <c r="M12" s="3002"/>
      <c r="N12" s="3001"/>
      <c r="O12" s="3004" t="s">
        <v>2825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2826</v>
      </c>
      <c r="C13" s="3008">
        <v>42301</v>
      </c>
      <c r="D13" s="3009">
        <v>4.3499999999999996</v>
      </c>
      <c r="E13" s="3009">
        <v>4.3499999999999996</v>
      </c>
      <c r="F13" s="3009">
        <v>4.75</v>
      </c>
      <c r="G13" s="3009">
        <v>4.75</v>
      </c>
      <c r="H13" s="3009">
        <v>4.9000000000000004</v>
      </c>
      <c r="I13" s="3009">
        <v>2.75</v>
      </c>
      <c r="J13" s="3009">
        <v>3.25</v>
      </c>
      <c r="K13" s="3006"/>
      <c r="L13" s="3007" t="s">
        <v>2826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2827</v>
      </c>
      <c r="Y42" s="3013" t="s">
        <v>2827</v>
      </c>
      <c r="Z42" s="3013" t="s">
        <v>2827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2827</v>
      </c>
      <c r="Y43" s="3013" t="s">
        <v>2827</v>
      </c>
      <c r="Z43" s="3013" t="s">
        <v>2827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2827</v>
      </c>
      <c r="Y44" s="3013" t="s">
        <v>2827</v>
      </c>
      <c r="Z44" s="3013" t="s">
        <v>2827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2827</v>
      </c>
      <c r="Y45" s="3013" t="s">
        <v>2827</v>
      </c>
      <c r="Z45" s="3013" t="s">
        <v>2827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2827</v>
      </c>
      <c r="Y46" s="3013" t="s">
        <v>2827</v>
      </c>
      <c r="Z46" s="3013" t="s">
        <v>2827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2827</v>
      </c>
      <c r="Y47" s="3013" t="s">
        <v>2827</v>
      </c>
      <c r="Z47" s="3013" t="s">
        <v>2827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2827</v>
      </c>
      <c r="Y48" s="3013" t="s">
        <v>2827</v>
      </c>
      <c r="Z48" s="3013" t="s">
        <v>2827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2827</v>
      </c>
      <c r="Y49" s="3013" t="s">
        <v>2827</v>
      </c>
      <c r="Z49" s="3013" t="s">
        <v>2827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2827</v>
      </c>
      <c r="Y50" s="3013" t="s">
        <v>2827</v>
      </c>
      <c r="Z50" s="3013" t="s">
        <v>2827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2827</v>
      </c>
      <c r="V51" s="3013" t="s">
        <v>2827</v>
      </c>
      <c r="W51" s="3013" t="s">
        <v>2827</v>
      </c>
      <c r="X51" s="3013" t="s">
        <v>2827</v>
      </c>
      <c r="Y51" s="3013" t="s">
        <v>2827</v>
      </c>
      <c r="Z51" s="3013" t="s">
        <v>2827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2827</v>
      </c>
      <c r="J55" s="3013" t="s">
        <v>2827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2042</v>
      </c>
      <c r="B1" s="3207"/>
      <c r="C1" s="3207"/>
      <c r="D1" s="3207"/>
      <c r="E1" s="3207"/>
      <c r="F1" s="3207"/>
      <c r="G1" s="3207"/>
      <c r="H1" s="3207"/>
      <c r="I1" s="3207"/>
      <c r="J1" s="3207"/>
      <c r="K1" s="3207"/>
      <c r="L1" s="3207"/>
      <c r="M1" s="3207"/>
      <c r="N1" s="3207"/>
      <c r="O1" s="3207"/>
      <c r="P1" s="3207"/>
      <c r="Q1" s="3207"/>
      <c r="R1" s="3207"/>
    </row>
    <row r="2" spans="1:18">
      <c r="A2" s="1805" t="s">
        <v>2044</v>
      </c>
      <c r="B2" s="1805"/>
      <c r="C2" s="1805"/>
      <c r="D2" s="1805"/>
      <c r="E2" s="1805"/>
      <c r="F2" s="1805"/>
      <c r="G2" s="1805"/>
      <c r="H2" s="1805"/>
      <c r="I2" s="1806"/>
      <c r="J2" s="1806"/>
      <c r="K2" s="1807" t="str">
        <f>"估价期日："&amp;TEXT(项目基本情况!D3,"yyyy年m月d日;;")</f>
        <v>估价期日：2018年1月23日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08" t="s">
        <v>2033</v>
      </c>
      <c r="B3" s="3208" t="s">
        <v>2740</v>
      </c>
      <c r="C3" s="3209" t="s">
        <v>2034</v>
      </c>
      <c r="D3" s="3208" t="s">
        <v>2744</v>
      </c>
      <c r="E3" s="3211" t="s">
        <v>2035</v>
      </c>
      <c r="F3" s="3211"/>
      <c r="G3" s="3211"/>
      <c r="H3" s="3211" t="s">
        <v>2036</v>
      </c>
      <c r="I3" s="3211"/>
      <c r="J3" s="3211"/>
      <c r="K3" s="3209" t="s">
        <v>2037</v>
      </c>
      <c r="L3" s="3209" t="s">
        <v>2038</v>
      </c>
      <c r="M3" s="3208" t="s">
        <v>2741</v>
      </c>
      <c r="N3" s="3210" t="str">
        <f>"（分摊）"&amp;项目基本情况!B16&amp;"国有建设用地使用权面积/㎡"</f>
        <v>（分摊）出让国有建设用地使用权面积/㎡</v>
      </c>
      <c r="O3" s="3208" t="s">
        <v>2067</v>
      </c>
      <c r="P3" s="3209" t="s">
        <v>2047</v>
      </c>
      <c r="Q3" s="3209" t="s">
        <v>2068</v>
      </c>
      <c r="R3" s="3209" t="s">
        <v>2039</v>
      </c>
    </row>
    <row r="4" spans="1:18" ht="36.75" customHeight="1">
      <c r="A4" s="3208"/>
      <c r="B4" s="3208"/>
      <c r="C4" s="3209"/>
      <c r="D4" s="3208"/>
      <c r="E4" s="2672" t="s">
        <v>2046</v>
      </c>
      <c r="F4" s="2672" t="s">
        <v>2753</v>
      </c>
      <c r="G4" s="2672" t="s">
        <v>2040</v>
      </c>
      <c r="H4" s="2672" t="s">
        <v>2041</v>
      </c>
      <c r="I4" s="2672" t="s">
        <v>2754</v>
      </c>
      <c r="J4" s="2672" t="s">
        <v>2040</v>
      </c>
      <c r="K4" s="3209"/>
      <c r="L4" s="3209"/>
      <c r="M4" s="3208"/>
      <c r="N4" s="3210"/>
      <c r="O4" s="3208"/>
      <c r="P4" s="3209"/>
      <c r="Q4" s="3209"/>
      <c r="R4" s="3209"/>
    </row>
    <row r="5" spans="1:18" ht="135" customHeight="1">
      <c r="A5" s="1941" t="s">
        <v>2664</v>
      </c>
      <c r="B5" s="2891" t="s">
        <v>2662</v>
      </c>
      <c r="C5" s="2671">
        <v>22</v>
      </c>
      <c r="D5" s="2670" t="s">
        <v>2663</v>
      </c>
      <c r="E5" s="1808">
        <f>项目基本情况!B12</f>
        <v>0</v>
      </c>
      <c r="F5" s="2670">
        <v>258</v>
      </c>
      <c r="G5" s="1808">
        <f>项目基本情况!B13</f>
        <v>0</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37378.1</v>
      </c>
      <c r="O5" s="1808">
        <f>项目基本情况!C21</f>
        <v>136430.07</v>
      </c>
      <c r="P5" s="1808">
        <f ca="1">结果表!E42</f>
        <v>72005</v>
      </c>
      <c r="Q5" s="1808">
        <f ca="1">结果表!D42</f>
        <v>19727</v>
      </c>
      <c r="R5" s="1809">
        <f ca="1">结果表!C42</f>
        <v>269141</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0"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0"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0" t="str">
        <f>结果表!O41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12" t="s">
        <v>2069</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2070</v>
      </c>
      <c r="B5" s="3215"/>
      <c r="C5" s="3215"/>
      <c r="D5" s="3215"/>
    </row>
    <row r="6" spans="1:4">
      <c r="A6" s="3212" t="s">
        <v>2048</v>
      </c>
      <c r="B6" s="3212"/>
      <c r="C6" s="3212"/>
      <c r="D6" s="3212"/>
    </row>
    <row r="7" spans="1:4" ht="33" customHeight="1">
      <c r="A7" s="3212" t="s">
        <v>2582</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2072</v>
      </c>
      <c r="B12" s="3215"/>
      <c r="C12" s="3215"/>
      <c r="D12" s="3215"/>
    </row>
    <row r="13" spans="1:4">
      <c r="A13" s="3213" t="s">
        <v>2755</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2711</v>
      </c>
      <c r="B17" s="3212"/>
      <c r="C17" s="3212"/>
      <c r="D17" s="3212"/>
    </row>
    <row r="18" spans="1:4">
      <c r="A18" s="3212" t="s">
        <v>2703</v>
      </c>
      <c r="B18" s="3212"/>
      <c r="C18" s="3212"/>
      <c r="D18" s="3212"/>
    </row>
    <row r="19" spans="1:4">
      <c r="A19" s="2892" t="s">
        <v>2704</v>
      </c>
      <c r="B19" s="2892" t="s">
        <v>2705</v>
      </c>
      <c r="C19" s="2892" t="s">
        <v>2706</v>
      </c>
      <c r="D19" s="2892" t="s">
        <v>2707</v>
      </c>
    </row>
    <row r="20" spans="1:4">
      <c r="A20" s="2892" t="str">
        <f>项目基本情况!B4</f>
        <v>土地估价师</v>
      </c>
      <c r="B20" s="2892">
        <f>项目基本情况!C4</f>
        <v>0</v>
      </c>
      <c r="C20" s="2894"/>
      <c r="D20" s="1798" t="s">
        <v>2712</v>
      </c>
    </row>
    <row r="21" spans="1:4">
      <c r="A21" s="2892" t="str">
        <f>项目基本情况!D4</f>
        <v>土地估价师</v>
      </c>
      <c r="B21" s="2892">
        <f>项目基本情况!E4</f>
        <v>0</v>
      </c>
      <c r="C21" s="2894"/>
      <c r="D21" s="1798" t="s">
        <v>2713</v>
      </c>
    </row>
    <row r="23" spans="1:4">
      <c r="A23" s="3212" t="s">
        <v>2708</v>
      </c>
      <c r="B23" s="3212"/>
      <c r="C23" s="3212"/>
      <c r="D23" s="3212"/>
    </row>
    <row r="24" spans="1:4">
      <c r="A24" s="2892" t="s">
        <v>2704</v>
      </c>
      <c r="B24" s="2892" t="s">
        <v>2709</v>
      </c>
      <c r="C24" s="2892" t="s">
        <v>2706</v>
      </c>
      <c r="D24" s="2892" t="s">
        <v>2707</v>
      </c>
    </row>
    <row r="25" spans="1:4">
      <c r="A25" s="2895" t="s">
        <v>2710</v>
      </c>
      <c r="B25" s="2892" t="s">
        <v>953</v>
      </c>
      <c r="C25" s="2894"/>
      <c r="D25" s="1798" t="s">
        <v>2713</v>
      </c>
    </row>
    <row r="29" spans="1:4">
      <c r="D29" s="2893" t="s">
        <v>2043</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224" t="s">
        <v>53</v>
      </c>
      <c r="B15" s="3225" t="s">
        <v>847</v>
      </c>
      <c r="C15" s="3221"/>
    </row>
    <row r="16" spans="1:7" ht="14.25">
      <c r="A16" s="3224"/>
      <c r="B16" s="3222" t="s">
        <v>54</v>
      </c>
      <c r="C16" s="1168" t="s">
        <v>53</v>
      </c>
    </row>
    <row r="17" spans="1:3" ht="14.25">
      <c r="A17" s="3224"/>
      <c r="B17" s="3222"/>
      <c r="C17" s="1168" t="s">
        <v>55</v>
      </c>
    </row>
    <row r="18" spans="1:3" ht="14.25">
      <c r="A18" s="3224"/>
      <c r="B18" s="3222"/>
      <c r="C18" s="1168" t="s">
        <v>56</v>
      </c>
    </row>
    <row r="19" spans="1:3" ht="14.25">
      <c r="A19" s="3224"/>
      <c r="B19" s="3220" t="s">
        <v>57</v>
      </c>
      <c r="C19" s="3221"/>
    </row>
    <row r="20" spans="1:3" ht="14.25">
      <c r="A20" s="1169" t="s">
        <v>58</v>
      </c>
      <c r="B20" s="1170"/>
      <c r="C20" s="1171"/>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2" t="s">
        <v>838</v>
      </c>
    </row>
    <row r="25" spans="1:3" ht="14.25">
      <c r="A25" s="3223"/>
      <c r="B25" s="3227"/>
      <c r="C25" s="1172" t="s">
        <v>839</v>
      </c>
    </row>
    <row r="26" spans="1:3" ht="14.25">
      <c r="A26" s="3223"/>
      <c r="B26" s="3227"/>
      <c r="C26" s="1172" t="s">
        <v>840</v>
      </c>
    </row>
    <row r="27" spans="1:3" ht="14.25">
      <c r="A27" s="3223"/>
      <c r="B27" s="3227"/>
      <c r="C27" s="1172" t="s">
        <v>841</v>
      </c>
    </row>
    <row r="28" spans="1:3" ht="14.25">
      <c r="A28" s="3223"/>
      <c r="B28" s="3227"/>
      <c r="C28" s="1172" t="s">
        <v>842</v>
      </c>
    </row>
    <row r="29" spans="1:3" ht="14.25">
      <c r="A29" s="3223"/>
      <c r="B29" s="3227"/>
      <c r="C29" s="1172" t="s">
        <v>843</v>
      </c>
    </row>
    <row r="30" spans="1:3" ht="14.25">
      <c r="A30" s="3223"/>
      <c r="B30" s="3227"/>
      <c r="C30" s="1172" t="s">
        <v>844</v>
      </c>
    </row>
    <row r="31" spans="1:3" ht="14.25">
      <c r="A31" s="3223"/>
      <c r="B31" s="3227"/>
      <c r="C31" s="1172" t="s">
        <v>845</v>
      </c>
    </row>
    <row r="32" spans="1:3" ht="14.25">
      <c r="A32" s="3223"/>
      <c r="B32" s="3227"/>
      <c r="C32" s="1172" t="s">
        <v>1648</v>
      </c>
    </row>
    <row r="33" spans="1:3" ht="14.25">
      <c r="A33" s="3223"/>
      <c r="B33" s="3217" t="s">
        <v>1654</v>
      </c>
      <c r="C33" s="1172" t="s">
        <v>1649</v>
      </c>
    </row>
    <row r="34" spans="1:3" ht="14.25">
      <c r="A34" s="3223"/>
      <c r="B34" s="3218"/>
      <c r="C34" s="1177" t="s">
        <v>1650</v>
      </c>
    </row>
    <row r="35" spans="1:3" ht="14.25">
      <c r="A35" s="3223"/>
      <c r="B35" s="3218"/>
      <c r="C35" s="1178" t="s">
        <v>1651</v>
      </c>
    </row>
    <row r="36" spans="1:3" ht="14.25">
      <c r="A36" s="3223"/>
      <c r="B36" s="3218"/>
      <c r="C36" s="1178" t="s">
        <v>1652</v>
      </c>
    </row>
    <row r="37" spans="1:3" ht="14.25">
      <c r="A37" s="3223"/>
      <c r="B37" s="3219"/>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43136</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9">
        <v>43849</v>
      </c>
      <c r="D4" s="2341" t="s">
        <v>1916</v>
      </c>
      <c r="E4" s="2341">
        <f ca="1">IF(F4&lt;B2,"已过期",96010014)</f>
        <v>96010014</v>
      </c>
      <c r="F4" s="3030">
        <v>47118</v>
      </c>
    </row>
    <row r="5" spans="1:6" ht="20.25" customHeight="1">
      <c r="A5" s="2341" t="s">
        <v>1917</v>
      </c>
      <c r="B5" s="2341">
        <f ca="1">IF(C5&lt;B2,"已过期",1119970074)</f>
        <v>1119970074</v>
      </c>
      <c r="C5" s="3029">
        <v>43849</v>
      </c>
      <c r="D5" s="2341" t="s">
        <v>1917</v>
      </c>
      <c r="E5" s="2341">
        <f ca="1">IF(F5&lt;B2,"已过期",2002110027)</f>
        <v>2002110027</v>
      </c>
      <c r="F5" s="3030">
        <v>46752</v>
      </c>
    </row>
    <row r="6" spans="1:6" ht="20.25" customHeight="1">
      <c r="A6" s="2341" t="s">
        <v>1918</v>
      </c>
      <c r="B6" s="2341">
        <f ca="1">IF(C6&lt;B2,"已过期",1119970111)</f>
        <v>1119970111</v>
      </c>
      <c r="C6" s="3029">
        <v>43849</v>
      </c>
      <c r="D6" s="2341" t="s">
        <v>1918</v>
      </c>
      <c r="E6" s="2341">
        <f ca="1">IF(F6&lt;B2,"已过期",94010078)</f>
        <v>94010078</v>
      </c>
      <c r="F6" s="3030">
        <v>46387</v>
      </c>
    </row>
    <row r="7" spans="1:6" ht="20.25" customHeight="1">
      <c r="A7" s="2341" t="s">
        <v>1919</v>
      </c>
      <c r="B7" s="2341">
        <f ca="1">IF(C7&lt;B2,"已过期",1120050019)</f>
        <v>1120050019</v>
      </c>
      <c r="C7" s="3029">
        <v>43359</v>
      </c>
      <c r="D7" s="2341" t="s">
        <v>1919</v>
      </c>
      <c r="E7" s="2341">
        <f ca="1">IF(F7&lt;B2,"已过期",2002110030)</f>
        <v>2002110030</v>
      </c>
      <c r="F7" s="3030">
        <v>46387</v>
      </c>
    </row>
    <row r="8" spans="1:6" ht="20.25" customHeight="1">
      <c r="A8" s="2341" t="s">
        <v>1920</v>
      </c>
      <c r="B8" s="2341">
        <f ca="1">IF(C8&lt;B2,"已过期",1120000080)</f>
        <v>1120000080</v>
      </c>
      <c r="C8" s="3029">
        <v>43849</v>
      </c>
      <c r="D8" s="2341" t="s">
        <v>1920</v>
      </c>
      <c r="E8" s="2341">
        <f ca="1">IF(F8&lt;B2,"已过期",2000110082)</f>
        <v>2000110082</v>
      </c>
      <c r="F8" s="3030">
        <v>46387</v>
      </c>
    </row>
    <row r="9" spans="1:6" ht="20.25" customHeight="1">
      <c r="A9" s="2341" t="s">
        <v>1921</v>
      </c>
      <c r="B9" s="2341">
        <f ca="1">IF(C9&lt;B2,"已过期",1419970001)</f>
        <v>1419970001</v>
      </c>
      <c r="C9" s="3029">
        <v>43867</v>
      </c>
      <c r="D9" s="2341" t="s">
        <v>1921</v>
      </c>
      <c r="E9" s="2341">
        <f ca="1">IF(F9&lt;B2,"已过期",2002110125)</f>
        <v>2002110125</v>
      </c>
      <c r="F9" s="3030">
        <v>47118</v>
      </c>
    </row>
    <row r="10" spans="1:6" ht="20.25" customHeight="1">
      <c r="A10" s="2341" t="s">
        <v>1922</v>
      </c>
      <c r="B10" s="2341">
        <f ca="1">IF(C10&lt;B2,"已过期",1120060040)</f>
        <v>1120060040</v>
      </c>
      <c r="C10" s="3029">
        <v>43483</v>
      </c>
      <c r="D10" s="2341" t="s">
        <v>1922</v>
      </c>
      <c r="E10" s="2341">
        <f ca="1">IF(F10&lt;B2,"已过期",2004110096)</f>
        <v>2004110096</v>
      </c>
      <c r="F10" s="3030">
        <v>47118</v>
      </c>
    </row>
    <row r="11" spans="1:6" ht="20.25" customHeight="1">
      <c r="A11" s="2341" t="s">
        <v>1923</v>
      </c>
      <c r="B11" s="2341">
        <f ca="1">IF(C11&lt;B2,"已过期",1120100036)</f>
        <v>1120100036</v>
      </c>
      <c r="C11" s="3029">
        <v>43622</v>
      </c>
      <c r="D11" s="2341" t="s">
        <v>1923</v>
      </c>
      <c r="E11" s="2341">
        <f ca="1">IF(F11&lt;B2,"已过期",2010110070)</f>
        <v>2010110070</v>
      </c>
      <c r="F11" s="3030">
        <v>47907</v>
      </c>
    </row>
    <row r="12" spans="1:6" ht="20.25" customHeight="1">
      <c r="A12" s="2341"/>
      <c r="B12" s="2341"/>
      <c r="C12" s="3029"/>
      <c r="D12" s="2341"/>
      <c r="E12" s="2341"/>
      <c r="F12" s="2341"/>
    </row>
    <row r="13" spans="1:6" ht="20.25" customHeight="1">
      <c r="A13" s="2341" t="s">
        <v>1924</v>
      </c>
      <c r="B13" s="2341">
        <f ca="1">IF(C13&lt;B2,"已过期",1120070131)</f>
        <v>1120070131</v>
      </c>
      <c r="C13" s="3029">
        <v>43814</v>
      </c>
      <c r="D13" s="2341" t="s">
        <v>1924</v>
      </c>
      <c r="E13" s="2341">
        <v>2014110011</v>
      </c>
      <c r="F13" s="3030">
        <v>49302</v>
      </c>
    </row>
    <row r="14" spans="1:6" ht="20.25" customHeight="1">
      <c r="A14" s="2341" t="s">
        <v>1925</v>
      </c>
      <c r="B14" s="2341">
        <f ca="1">IF(C14&lt;B2,"已过期",1120130020)</f>
        <v>1120130020</v>
      </c>
      <c r="C14" s="3029">
        <v>43622</v>
      </c>
      <c r="D14" s="2341"/>
      <c r="E14" s="2341"/>
      <c r="F14" s="2341"/>
    </row>
    <row r="15" spans="1:6" ht="20.25" customHeight="1">
      <c r="A15" s="2341" t="s">
        <v>2581</v>
      </c>
      <c r="B15" s="2341">
        <v>1120070085</v>
      </c>
      <c r="C15" s="3029">
        <v>43814</v>
      </c>
      <c r="D15" s="2341" t="s">
        <v>2581</v>
      </c>
      <c r="E15" s="2341">
        <v>2004110128</v>
      </c>
      <c r="F15" s="3030">
        <v>47118</v>
      </c>
    </row>
    <row r="16" spans="1:6" ht="20.25" customHeight="1">
      <c r="A16" s="2341" t="s">
        <v>1926</v>
      </c>
      <c r="B16" s="2341">
        <f ca="1">IF(C16&lt;B2,"已过期",1120140022)</f>
        <v>1120140022</v>
      </c>
      <c r="C16" s="3029">
        <v>44029</v>
      </c>
      <c r="D16" s="2341" t="s">
        <v>1926</v>
      </c>
      <c r="E16" s="2341">
        <f ca="1">IF(F16&lt;B2,"已过期",2008110059)</f>
        <v>2008110059</v>
      </c>
      <c r="F16" s="3030">
        <v>47177</v>
      </c>
    </row>
    <row r="17" spans="1:7" ht="20.25" customHeight="1">
      <c r="A17" s="2341"/>
      <c r="B17" s="2341"/>
      <c r="C17" s="3029"/>
      <c r="D17" s="2341"/>
      <c r="E17" s="2341"/>
      <c r="F17" s="3030"/>
    </row>
    <row r="18" spans="1:7" ht="20.25" customHeight="1">
      <c r="A18" s="2341"/>
      <c r="B18" s="2341"/>
      <c r="C18" s="3029"/>
      <c r="D18" s="2341"/>
      <c r="E18" s="2341"/>
      <c r="F18" s="3030"/>
    </row>
    <row r="19" spans="1:7" ht="20.25" customHeight="1">
      <c r="A19" s="2341"/>
      <c r="B19" s="2341"/>
      <c r="C19" s="3029"/>
      <c r="D19" s="2341"/>
      <c r="E19" s="2341"/>
      <c r="F19" s="2341"/>
    </row>
    <row r="20" spans="1:7" ht="20.25" customHeight="1">
      <c r="A20" s="2341"/>
      <c r="B20" s="2341"/>
      <c r="C20" s="3029"/>
      <c r="D20" s="2341"/>
      <c r="E20" s="2341"/>
      <c r="F20" s="2341"/>
    </row>
    <row r="21" spans="1:7" ht="20.25" customHeight="1">
      <c r="A21" s="2341"/>
      <c r="B21" s="2341"/>
      <c r="C21" s="3029"/>
      <c r="D21" s="2341" t="s">
        <v>1927</v>
      </c>
      <c r="E21" s="2341">
        <f ca="1">IF(F21&lt;B2,"已过期",2011110090)</f>
        <v>2011110090</v>
      </c>
      <c r="F21" s="3030">
        <v>48302</v>
      </c>
    </row>
    <row r="22" spans="1:7" ht="20.25" customHeight="1">
      <c r="A22" s="2341" t="s">
        <v>1928</v>
      </c>
      <c r="B22" s="2341">
        <f ca="1">IF(C22&lt;B2,"已过期",1120020033)</f>
        <v>1120020033</v>
      </c>
      <c r="C22" s="3029">
        <v>43304</v>
      </c>
      <c r="D22" s="2341" t="s">
        <v>1928</v>
      </c>
      <c r="E22" s="2341">
        <f ca="1">IF(F22&lt;B2,"已过期",2000110137)</f>
        <v>2000110137</v>
      </c>
      <c r="F22" s="3030">
        <v>46387</v>
      </c>
    </row>
    <row r="23" spans="1:7" ht="20.25" customHeight="1">
      <c r="A23" s="2341" t="s">
        <v>1929</v>
      </c>
      <c r="B23" s="2341">
        <f ca="1">IF(C23&lt;B2,"已过期",1120130048)</f>
        <v>1120130048</v>
      </c>
      <c r="C23" s="3029">
        <v>43686</v>
      </c>
      <c r="D23" s="2341"/>
      <c r="E23" s="2341"/>
      <c r="F23" s="2341"/>
    </row>
    <row r="24" spans="1:7" s="2345" customFormat="1" ht="20.25" customHeight="1">
      <c r="A24" s="2343" t="s">
        <v>2057</v>
      </c>
      <c r="B24" s="2343" t="s">
        <v>2057</v>
      </c>
      <c r="C24" s="3029"/>
      <c r="D24" s="3031" t="s">
        <v>2057</v>
      </c>
      <c r="E24" s="2343" t="s">
        <v>2057</v>
      </c>
      <c r="F24" s="2344"/>
    </row>
    <row r="25" spans="1:7" ht="20.25" customHeight="1">
      <c r="A25" s="3228" t="s">
        <v>1930</v>
      </c>
      <c r="B25" s="3228"/>
      <c r="C25" s="3228"/>
      <c r="D25" s="3228"/>
      <c r="E25" s="3228"/>
      <c r="F25" s="3228"/>
      <c r="G25" s="3228"/>
    </row>
    <row r="26" spans="1:7" ht="20.25" customHeight="1">
      <c r="A26" s="3229" t="s">
        <v>1931</v>
      </c>
      <c r="B26" s="3229"/>
      <c r="C26" s="3229"/>
      <c r="D26" s="3229" t="s">
        <v>1932</v>
      </c>
      <c r="E26" s="3229"/>
      <c r="F26" s="3229"/>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2956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0"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50"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40" t="s">
        <v>2969</v>
      </c>
      <c r="C18" s="1551"/>
    </row>
    <row r="19" spans="1:3">
      <c r="A19" s="8" t="s">
        <v>120</v>
      </c>
      <c r="B19" s="3140" t="s">
        <v>2977</v>
      </c>
      <c r="C19" s="1551"/>
    </row>
    <row r="20" spans="1:3">
      <c r="A20" s="8" t="s">
        <v>121</v>
      </c>
      <c r="B20" s="8" t="s">
        <v>1643</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230"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23日，在规划利用条件下、设定土地开发程度为红线外“七通”、宗地内场地，设定用途为，剩余土地使用年限为的出让国有建设用地使用权价格。</v>
      </c>
      <c r="D53" s="1765"/>
      <c r="E53" s="1765"/>
    </row>
    <row r="54" spans="1:5">
      <c r="A54" s="3230"/>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0"/>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0"/>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0"/>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128</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不动产比较法-办公</vt:lpstr>
      <vt:lpstr>不动产收益法</vt:lpstr>
      <vt:lpstr>酒店收入计算</vt:lpstr>
      <vt:lpstr>成本逼近法</vt:lpstr>
      <vt:lpstr>不动产比较法-商业</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2018-02-05T01:49:14Z</dcterms:modified>
</cp:coreProperties>
</file>