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s>
  <externalReferences>
    <externalReference r:id="rId4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74" l="1"/>
  <c r="B16" i="74"/>
  <c r="B15" i="74"/>
  <c r="G4" i="31" l="1"/>
  <c r="F4" i="31"/>
  <c r="E4" i="31"/>
  <c r="D4" i="31"/>
  <c r="G40" i="77" l="1"/>
  <c r="F70" i="15"/>
  <c r="AA6" i="1"/>
  <c r="Z6" i="1" s="1"/>
  <c r="AB6" i="1"/>
  <c r="H11" i="78"/>
  <c r="N18" i="1"/>
  <c r="D38" i="81" l="1"/>
  <c r="D39" i="81" s="1"/>
  <c r="E13" i="78" l="1"/>
  <c r="D13" i="78" s="1"/>
  <c r="U7" i="1" s="1"/>
  <c r="J11" i="78"/>
  <c r="J12" i="78"/>
  <c r="F49" i="15"/>
  <c r="I4" i="78"/>
  <c r="I6" i="78"/>
  <c r="M3" i="78"/>
  <c r="N3" i="78" s="1"/>
  <c r="H8" i="78"/>
  <c r="D5" i="78"/>
  <c r="I5" i="78" s="1"/>
  <c r="D6" i="78"/>
  <c r="D7" i="78"/>
  <c r="I7" i="78" s="1"/>
  <c r="D4" i="78"/>
  <c r="D3" i="78"/>
  <c r="D8" i="78" s="1"/>
  <c r="F8" i="78" l="1"/>
  <c r="I3" i="78"/>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G39" i="77" l="1"/>
  <c r="I13" i="3"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B10" i="71" s="1"/>
  <c r="Q10" i="71"/>
  <c r="P10" i="71"/>
  <c r="O10" i="71"/>
  <c r="C10" i="71"/>
  <c r="Q11" i="71"/>
  <c r="F10" i="71"/>
  <c r="P11" i="71"/>
  <c r="E10" i="71"/>
  <c r="E9" i="71" s="1"/>
  <c r="E8" i="71" s="1"/>
  <c r="O11" i="71"/>
  <c r="N11"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A6" i="52" s="1"/>
  <c r="B57" i="72" s="1"/>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59" i="72"/>
  <c r="B10" i="72"/>
  <c r="C53" i="10"/>
  <c r="B51" i="10"/>
  <c r="A13" i="51" s="1"/>
  <c r="B11" i="72" s="1"/>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D51" i="71"/>
  <c r="Q50" i="71"/>
  <c r="P50" i="71"/>
  <c r="O50" i="71"/>
  <c r="N50" i="71"/>
  <c r="Q49" i="71"/>
  <c r="P49" i="71"/>
  <c r="O49" i="71"/>
  <c r="N49" i="71"/>
  <c r="Q48" i="71"/>
  <c r="P48" i="71"/>
  <c r="O48" i="71"/>
  <c r="C49" i="71" s="1"/>
  <c r="C50" i="71" s="1"/>
  <c r="D50" i="71" s="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E41" i="71" s="1"/>
  <c r="E42" i="71" s="1"/>
  <c r="U42" i="71" s="1"/>
  <c r="O39" i="71"/>
  <c r="C40" i="71" s="1"/>
  <c r="C41" i="71" s="1"/>
  <c r="C42" i="71" s="1"/>
  <c r="D42"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s="1"/>
  <c r="Q24" i="71"/>
  <c r="AB24" i="71" s="1"/>
  <c r="P24" i="71"/>
  <c r="AA24" i="71" s="1"/>
  <c r="O24" i="71"/>
  <c r="N24" i="71"/>
  <c r="Q23" i="71"/>
  <c r="P23" i="71"/>
  <c r="O23" i="71"/>
  <c r="C24" i="71" s="1"/>
  <c r="D24" i="71" s="1"/>
  <c r="N23" i="71"/>
  <c r="X23" i="71" s="1"/>
  <c r="D23" i="71"/>
  <c r="Q22" i="71"/>
  <c r="P22" i="71"/>
  <c r="AA22" i="71" s="1"/>
  <c r="O22" i="71"/>
  <c r="Y22" i="71" s="1"/>
  <c r="Z22" i="71" s="1"/>
  <c r="N22" i="71"/>
  <c r="Q21" i="71"/>
  <c r="P21" i="71"/>
  <c r="AA20" i="71" s="1"/>
  <c r="O21" i="71"/>
  <c r="Y21" i="71"/>
  <c r="Z21" i="71" s="1"/>
  <c r="N21" i="71"/>
  <c r="Q20" i="71"/>
  <c r="P20" i="71"/>
  <c r="O20" i="71"/>
  <c r="N20" i="71"/>
  <c r="Q19" i="71"/>
  <c r="P19" i="71"/>
  <c r="O19" i="71"/>
  <c r="N19" i="71"/>
  <c r="D19" i="71"/>
  <c r="Q18" i="71"/>
  <c r="AB18" i="71"/>
  <c r="P18" i="71"/>
  <c r="O18" i="71"/>
  <c r="Y18" i="71" s="1"/>
  <c r="Z18" i="71" s="1"/>
  <c r="N18" i="71"/>
  <c r="Q17" i="71"/>
  <c r="AB14" i="71" s="1"/>
  <c r="P17" i="71"/>
  <c r="O17" i="71"/>
  <c r="Y17" i="71" s="1"/>
  <c r="Z17" i="71" s="1"/>
  <c r="N17" i="71"/>
  <c r="Q16" i="71"/>
  <c r="P16" i="71"/>
  <c r="O16" i="71"/>
  <c r="N16" i="71"/>
  <c r="Q15" i="71"/>
  <c r="P15" i="71"/>
  <c r="O15" i="7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0" i="71"/>
  <c r="E21" i="71"/>
  <c r="E22" i="71" s="1"/>
  <c r="U22" i="71" s="1"/>
  <c r="C16" i="71"/>
  <c r="C17" i="71" s="1"/>
  <c r="X16" i="71"/>
  <c r="Y23" i="71"/>
  <c r="Z23" i="71" s="1"/>
  <c r="X24" i="71"/>
  <c r="F37" i="71"/>
  <c r="F38" i="71" s="1"/>
  <c r="V38" i="71" s="1"/>
  <c r="C14" i="71"/>
  <c r="C25" i="71"/>
  <c r="C26" i="71" s="1"/>
  <c r="D26" i="71" s="1"/>
  <c r="D32" i="71"/>
  <c r="P14" i="71"/>
  <c r="E46" i="71"/>
  <c r="U46" i="71" s="1"/>
  <c r="Q14" i="71"/>
  <c r="D40" i="71"/>
  <c r="D48" i="71"/>
  <c r="O54" i="71"/>
  <c r="C53" i="71"/>
  <c r="C57" i="71"/>
  <c r="D57" i="71" s="1"/>
  <c r="D58" i="71"/>
  <c r="C61" i="71"/>
  <c r="D61" i="71" s="1"/>
  <c r="D62" i="71"/>
  <c r="C65" i="71"/>
  <c r="D66" i="71"/>
  <c r="F14" i="71"/>
  <c r="C52" i="71"/>
  <c r="D49" i="71"/>
  <c r="C60" i="71"/>
  <c r="D60" i="71" s="1"/>
  <c r="D65" i="71"/>
  <c r="C64" i="71"/>
  <c r="D64" i="71" s="1"/>
  <c r="C56" i="71"/>
  <c r="D56" i="71" s="1"/>
  <c r="D45" i="71"/>
  <c r="D25" i="71"/>
  <c r="D17" i="71"/>
  <c r="O51" i="71"/>
  <c r="T42"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9" i="39"/>
  <c r="S21" i="34"/>
  <c r="H25" i="40"/>
  <c r="U25" i="40" s="1"/>
  <c r="J25" i="40"/>
  <c r="W25" i="40" s="1"/>
  <c r="H29" i="39"/>
  <c r="U29" i="39" s="1"/>
  <c r="J29" i="39"/>
  <c r="W29" i="39" s="1"/>
  <c r="J18" i="36"/>
  <c r="W18" i="36" s="1"/>
  <c r="H18" i="35"/>
  <c r="S18" i="35"/>
  <c r="J18" i="35"/>
  <c r="W18" i="35" s="1"/>
  <c r="H21" i="37"/>
  <c r="F21" i="37"/>
  <c r="H21" i="34"/>
  <c r="U21" i="34" s="1"/>
  <c r="H21" i="33"/>
  <c r="F21" i="33"/>
  <c r="S21" i="21"/>
  <c r="H1" i="69"/>
  <c r="AC25" i="40"/>
  <c r="AB25" i="40"/>
  <c r="AC29" i="39"/>
  <c r="AB21" i="37"/>
  <c r="U21" i="37"/>
  <c r="J21" i="37"/>
  <c r="W21" i="37" s="1"/>
  <c r="J21" i="34"/>
  <c r="J21" i="33"/>
  <c r="W21" i="33" s="1"/>
  <c r="H21" i="21"/>
  <c r="AB21" i="21" s="1"/>
  <c r="F38" i="69"/>
  <c r="E37" i="69"/>
  <c r="F36" i="69"/>
  <c r="F35" i="69"/>
  <c r="F21" i="69"/>
  <c r="C21" i="69" s="1"/>
  <c r="F20" i="69"/>
  <c r="E10" i="69"/>
  <c r="E9" i="69"/>
  <c r="F7" i="69"/>
  <c r="C7" i="69" s="1"/>
  <c r="AC21" i="37"/>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1" i="31"/>
  <c r="S147" i="31"/>
  <c r="S435"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M5"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C26" i="35"/>
  <c r="J31" i="35"/>
  <c r="W31" i="35" s="1"/>
  <c r="H31" i="35"/>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D95" i="39"/>
  <c r="E95" i="39" s="1"/>
  <c r="F95" i="39"/>
  <c r="G95" i="39" s="1"/>
  <c r="D93" i="39"/>
  <c r="E93" i="39"/>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H29" i="36"/>
  <c r="U29" i="36" s="1"/>
  <c r="D81" i="36"/>
  <c r="E81" i="36" s="1"/>
  <c r="F81" i="36"/>
  <c r="G81" i="36" s="1"/>
  <c r="H81" i="36" s="1"/>
  <c r="I81" i="36" s="1"/>
  <c r="J81" i="36" s="1"/>
  <c r="K81" i="36" s="1"/>
  <c r="L81" i="36" s="1"/>
  <c r="M81" i="36" s="1"/>
  <c r="F79" i="36"/>
  <c r="E79" i="36"/>
  <c r="D79" i="36"/>
  <c r="C79" i="36"/>
  <c r="B93" i="36"/>
  <c r="H33" i="36" s="1"/>
  <c r="U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D62" i="36"/>
  <c r="E62" i="36" s="1"/>
  <c r="F62" i="36" s="1"/>
  <c r="G62" i="36" s="1"/>
  <c r="B59" i="36"/>
  <c r="F13" i="36" s="1"/>
  <c r="S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H23" i="35"/>
  <c r="B57" i="35"/>
  <c r="H11" i="35" s="1"/>
  <c r="B61" i="35"/>
  <c r="B59" i="35"/>
  <c r="H12" i="35" s="1"/>
  <c r="B131" i="34"/>
  <c r="F47" i="34" s="1"/>
  <c r="S47" i="34" s="1"/>
  <c r="B129" i="34"/>
  <c r="J46" i="34" s="1"/>
  <c r="W46" i="34" s="1"/>
  <c r="B127" i="34"/>
  <c r="B99" i="34"/>
  <c r="F32" i="34" s="1"/>
  <c r="S32" i="34" s="1"/>
  <c r="B97" i="34"/>
  <c r="H31" i="34" s="1"/>
  <c r="B95" i="34"/>
  <c r="H30" i="34" s="1"/>
  <c r="U30" i="34" s="1"/>
  <c r="B93" i="34"/>
  <c r="B75" i="34"/>
  <c r="F14" i="34" s="1"/>
  <c r="B73" i="34"/>
  <c r="B71" i="34"/>
  <c r="F12" i="34" s="1"/>
  <c r="AA12" i="34" s="1"/>
  <c r="B130" i="33"/>
  <c r="F46" i="33" s="1"/>
  <c r="AA46" i="33" s="1"/>
  <c r="B128" i="33"/>
  <c r="B126" i="33"/>
  <c r="B98" i="33"/>
  <c r="H31" i="33" s="1"/>
  <c r="AB31" i="33" s="1"/>
  <c r="B96" i="33"/>
  <c r="B94" i="33"/>
  <c r="B74" i="33"/>
  <c r="F14" i="33" s="1"/>
  <c r="S14" i="33" s="1"/>
  <c r="B72" i="33"/>
  <c r="H13" i="33" s="1"/>
  <c r="AB13" i="33" s="1"/>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S12" i="34"/>
  <c r="Q11" i="34"/>
  <c r="Z11" i="34"/>
  <c r="Q10" i="34"/>
  <c r="Z10" i="34"/>
  <c r="F10" i="34"/>
  <c r="AA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U31" i="21" s="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J26" i="21"/>
  <c r="W26" i="21" s="1"/>
  <c r="F26" i="21"/>
  <c r="S26" i="21" s="1"/>
  <c r="S41" i="21"/>
  <c r="AA41" i="21"/>
  <c r="F36" i="39"/>
  <c r="H36" i="39"/>
  <c r="J35" i="39"/>
  <c r="AC35" i="39" s="1"/>
  <c r="F35" i="39"/>
  <c r="AA35" i="39" s="1"/>
  <c r="J36" i="39"/>
  <c r="E103" i="37"/>
  <c r="F103" i="37" s="1"/>
  <c r="G103" i="37"/>
  <c r="H103" i="37" s="1"/>
  <c r="I103" i="37" s="1"/>
  <c r="J103" i="37" s="1"/>
  <c r="K103" i="37" s="1"/>
  <c r="L103" i="37" s="1"/>
  <c r="M103" i="37" s="1"/>
  <c r="F39" i="37"/>
  <c r="S39" i="37"/>
  <c r="F29" i="36"/>
  <c r="AA29" i="36" s="1"/>
  <c r="F16" i="36"/>
  <c r="AA16" i="36" s="1"/>
  <c r="W28" i="36"/>
  <c r="W31" i="36"/>
  <c r="U31" i="36"/>
  <c r="H22" i="35"/>
  <c r="AB22" i="35" s="1"/>
  <c r="AC27" i="35"/>
  <c r="W22" i="35"/>
  <c r="S31" i="35"/>
  <c r="F36" i="34"/>
  <c r="J35" i="34"/>
  <c r="W35" i="34" s="1"/>
  <c r="S34" i="34"/>
  <c r="U34" i="34"/>
  <c r="H39" i="33"/>
  <c r="AB39" i="33" s="1"/>
  <c r="F26" i="33"/>
  <c r="AA26" i="33" s="1"/>
  <c r="W33" i="33"/>
  <c r="H39" i="37"/>
  <c r="F11" i="40"/>
  <c r="H11" i="40"/>
  <c r="AB11" i="40" s="1"/>
  <c r="W8" i="40"/>
  <c r="AA9" i="40"/>
  <c r="AC9" i="40"/>
  <c r="U9" i="40"/>
  <c r="S34" i="40"/>
  <c r="U34" i="40"/>
  <c r="F42" i="39"/>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W17" i="39" s="1"/>
  <c r="J27" i="39"/>
  <c r="AC27" i="39"/>
  <c r="F27" i="39"/>
  <c r="F11" i="21"/>
  <c r="S11" i="21" s="1"/>
  <c r="S40" i="21"/>
  <c r="U34" i="21"/>
  <c r="S34" i="21"/>
  <c r="C25" i="39"/>
  <c r="H11" i="39"/>
  <c r="C15" i="39"/>
  <c r="H11" i="21"/>
  <c r="J11" i="21"/>
  <c r="W11" i="21" s="1"/>
  <c r="H37" i="40"/>
  <c r="U37" i="40" s="1"/>
  <c r="H36" i="40"/>
  <c r="F35" i="40"/>
  <c r="AA35" i="40" s="1"/>
  <c r="H23" i="40"/>
  <c r="H17" i="40"/>
  <c r="U17" i="40" s="1"/>
  <c r="J15" i="40"/>
  <c r="W15" i="40" s="1"/>
  <c r="J11" i="40"/>
  <c r="W11" i="40" s="1"/>
  <c r="AB8" i="39"/>
  <c r="AC12" i="34"/>
  <c r="W32" i="40"/>
  <c r="F37" i="39"/>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AB8" i="36"/>
  <c r="U8" i="35"/>
  <c r="F14" i="35"/>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AC23" i="34" s="1"/>
  <c r="F19" i="34"/>
  <c r="H17" i="34"/>
  <c r="F15" i="34"/>
  <c r="S15" i="34" s="1"/>
  <c r="J15" i="34"/>
  <c r="AC15" i="34" s="1"/>
  <c r="H15" i="34"/>
  <c r="AB15" i="34" s="1"/>
  <c r="S9"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F29" i="35"/>
  <c r="S29" i="35"/>
  <c r="H29" i="35"/>
  <c r="AB29" i="35"/>
  <c r="H33" i="37"/>
  <c r="AB33" i="37"/>
  <c r="F33" i="37"/>
  <c r="AA33"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AA15" i="34"/>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s="1"/>
  <c r="H14" i="21"/>
  <c r="F28" i="21"/>
  <c r="AA28" i="21" s="1"/>
  <c r="H30" i="21"/>
  <c r="J30" i="21"/>
  <c r="AC30"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U14" i="36" s="1"/>
  <c r="F28" i="36"/>
  <c r="AA28" i="36" s="1"/>
  <c r="J31" i="21"/>
  <c r="AC31" i="21" s="1"/>
  <c r="F31" i="21"/>
  <c r="S31" i="21" s="1"/>
  <c r="F45" i="21"/>
  <c r="J13" i="33"/>
  <c r="W13" i="33" s="1"/>
  <c r="H29" i="33"/>
  <c r="U29" i="33" s="1"/>
  <c r="F31" i="33"/>
  <c r="S31" i="33" s="1"/>
  <c r="J14" i="34"/>
  <c r="W14" i="34" s="1"/>
  <c r="H14" i="34"/>
  <c r="U14" i="34" s="1"/>
  <c r="J30" i="34"/>
  <c r="J32" i="34"/>
  <c r="W32" i="34" s="1"/>
  <c r="F46" i="34"/>
  <c r="S46" i="34" s="1"/>
  <c r="J11" i="35"/>
  <c r="J26" i="36"/>
  <c r="W26" i="36" s="1"/>
  <c r="H28" i="36"/>
  <c r="U28" i="36" s="1"/>
  <c r="J32" i="36"/>
  <c r="J13" i="36"/>
  <c r="AC13" i="36" s="1"/>
  <c r="J29" i="37"/>
  <c r="F29" i="37"/>
  <c r="S29" i="37" s="1"/>
  <c r="H36" i="37"/>
  <c r="AB36" i="37" s="1"/>
  <c r="J37" i="37"/>
  <c r="H37" i="37"/>
  <c r="U37" i="37" s="1"/>
  <c r="AC12" i="40"/>
  <c r="H14" i="33"/>
  <c r="U14" i="33" s="1"/>
  <c r="J14" i="33"/>
  <c r="AC14" i="33" s="1"/>
  <c r="J30" i="33"/>
  <c r="AC30" i="33" s="1"/>
  <c r="J44" i="33"/>
  <c r="AC44" i="33" s="1"/>
  <c r="J46" i="33"/>
  <c r="AC46" i="33" s="1"/>
  <c r="H46" i="33"/>
  <c r="AB46" i="33" s="1"/>
  <c r="F29" i="34"/>
  <c r="S29" i="34" s="1"/>
  <c r="J31" i="34"/>
  <c r="AC31" i="34" s="1"/>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AC38" i="37" s="1"/>
  <c r="F38" i="37"/>
  <c r="S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AA13" i="39" s="1"/>
  <c r="H14" i="40"/>
  <c r="AB14" i="40" s="1"/>
  <c r="J14" i="40"/>
  <c r="W14" i="40" s="1"/>
  <c r="F14" i="40"/>
  <c r="AA14" i="40" s="1"/>
  <c r="U46" i="33"/>
  <c r="J36" i="37"/>
  <c r="AC36" i="37"/>
  <c r="J10" i="36"/>
  <c r="AC10" i="36" s="1"/>
  <c r="W31" i="34"/>
  <c r="U31" i="33"/>
  <c r="S44" i="34"/>
  <c r="F17" i="21"/>
  <c r="AA17" i="21" s="1"/>
  <c r="H17" i="21"/>
  <c r="AB17" i="21" s="1"/>
  <c r="F15" i="21"/>
  <c r="S15" i="21" s="1"/>
  <c r="J41" i="39"/>
  <c r="W41" i="39" s="1"/>
  <c r="W35" i="39"/>
  <c r="S35" i="39"/>
  <c r="G523" i="3"/>
  <c r="G584" i="3"/>
  <c r="G560" i="3"/>
  <c r="BL564" i="3"/>
  <c r="BL554" i="3"/>
  <c r="BL502" i="3"/>
  <c r="BL562" i="3"/>
  <c r="BL552" i="3"/>
  <c r="BL500" i="3"/>
  <c r="BA582" i="3"/>
  <c r="BA574" i="3"/>
  <c r="BA562" i="3"/>
  <c r="BA558" i="3"/>
  <c r="BA556" i="3"/>
  <c r="BA554" i="3"/>
  <c r="BA552" i="3"/>
  <c r="AZ552" i="3" s="1"/>
  <c r="BA546" i="3"/>
  <c r="BA573" i="3"/>
  <c r="BA565" i="3"/>
  <c r="BA561" i="3"/>
  <c r="BA555" i="3"/>
  <c r="BA543" i="3"/>
  <c r="BA511" i="3"/>
  <c r="BA493" i="3"/>
  <c r="G583" i="3"/>
  <c r="G579" i="3"/>
  <c r="G563" i="3"/>
  <c r="BL558" i="3"/>
  <c r="AC557" i="3"/>
  <c r="G557" i="3" s="1"/>
  <c r="BQ557" i="3"/>
  <c r="BQ583" i="3"/>
  <c r="BL583" i="3" s="1"/>
  <c r="BQ581" i="3"/>
  <c r="BL581" i="3"/>
  <c r="BQ579" i="3"/>
  <c r="BL579" i="3"/>
  <c r="BQ577" i="3"/>
  <c r="BQ575" i="3"/>
  <c r="BQ573" i="3"/>
  <c r="BQ571" i="3"/>
  <c r="BQ569" i="3"/>
  <c r="BQ567" i="3"/>
  <c r="BQ565" i="3"/>
  <c r="BL565" i="3" s="1"/>
  <c r="AZ565" i="3" s="1"/>
  <c r="BQ563" i="3"/>
  <c r="BL563" i="3"/>
  <c r="BQ561" i="3"/>
  <c r="BL561" i="3"/>
  <c r="AZ561" i="3" s="1"/>
  <c r="BQ559" i="3"/>
  <c r="G559" i="3"/>
  <c r="G553" i="3"/>
  <c r="G545" i="3"/>
  <c r="BQ555" i="3"/>
  <c r="BL555" i="3"/>
  <c r="AZ555" i="3" s="1"/>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BL511" i="3" s="1"/>
  <c r="AZ511" i="3" s="1"/>
  <c r="AC509" i="3"/>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F42" i="33"/>
  <c r="AA42" i="33" s="1"/>
  <c r="H28" i="34"/>
  <c r="AB28" i="34" s="1"/>
  <c r="F14" i="36"/>
  <c r="AA14" i="36" s="1"/>
  <c r="F22" i="36"/>
  <c r="S22" i="36" s="1"/>
  <c r="F26" i="36"/>
  <c r="S26" i="36" s="1"/>
  <c r="H35" i="34"/>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c r="J43" i="33"/>
  <c r="AC43" i="33" s="1"/>
  <c r="U35" i="35"/>
  <c r="U33" i="37"/>
  <c r="AC8" i="37"/>
  <c r="W37" i="34"/>
  <c r="AB37" i="34"/>
  <c r="AC36" i="34"/>
  <c r="W44"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F9" i="37"/>
  <c r="J12" i="37"/>
  <c r="H12" i="37"/>
  <c r="F12" i="37"/>
  <c r="S12" i="37" s="1"/>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C12" i="43"/>
  <c r="H19" i="40"/>
  <c r="U19" i="40" s="1"/>
  <c r="F88" i="40"/>
  <c r="G88" i="40" s="1"/>
  <c r="F19" i="40"/>
  <c r="S19" i="40" s="1"/>
  <c r="AC13" i="40"/>
  <c r="W43" i="39"/>
  <c r="G101" i="39"/>
  <c r="H37" i="39"/>
  <c r="AB37" i="39" s="1"/>
  <c r="H25" i="39"/>
  <c r="AB25" i="39" s="1"/>
  <c r="J25" i="39"/>
  <c r="W25" i="39" s="1"/>
  <c r="F25" i="39"/>
  <c r="F15" i="39"/>
  <c r="AA15" i="39" s="1"/>
  <c r="H15" i="39"/>
  <c r="J15" i="39"/>
  <c r="W15" i="39" s="1"/>
  <c r="H41" i="39"/>
  <c r="AB41" i="39" s="1"/>
  <c r="W27" i="39"/>
  <c r="U40" i="39"/>
  <c r="W9" i="39"/>
  <c r="J19" i="40"/>
  <c r="AC19" i="40" s="1"/>
  <c r="J50" i="40"/>
  <c r="H103" i="9"/>
  <c r="D8" i="53" s="1"/>
  <c r="D9" i="53" s="1"/>
  <c r="B25" i="72" s="1"/>
  <c r="B16" i="53"/>
  <c r="B33" i="72" s="1"/>
  <c r="C7" i="37"/>
  <c r="C52" i="37" s="1"/>
  <c r="D52" i="37" s="1"/>
  <c r="E52" i="37" s="1"/>
  <c r="F52" i="37" s="1"/>
  <c r="C7" i="34"/>
  <c r="C7" i="36"/>
  <c r="A4" i="52"/>
  <c r="B41" i="72" s="1"/>
  <c r="J11" i="39"/>
  <c r="F11" i="39"/>
  <c r="AA11" i="39" s="1"/>
  <c r="S11" i="39"/>
  <c r="G4" i="4"/>
  <c r="I4" i="4"/>
  <c r="K5" i="4"/>
  <c r="B47" i="48" s="1"/>
  <c r="N2" i="43"/>
  <c r="F59" i="43"/>
  <c r="H62" i="43" s="1"/>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51" i="3"/>
  <c r="AZ55" i="3"/>
  <c r="AZ67" i="3"/>
  <c r="AZ71" i="3"/>
  <c r="AZ83" i="3"/>
  <c r="AZ168" i="3"/>
  <c r="AZ176" i="3"/>
  <c r="AZ192" i="3"/>
  <c r="AZ85" i="3"/>
  <c r="AZ93" i="3"/>
  <c r="AZ101" i="3"/>
  <c r="AZ128" i="3"/>
  <c r="G498" i="3"/>
  <c r="G16" i="3"/>
  <c r="G15" i="3"/>
  <c r="BA304" i="3"/>
  <c r="AZ304" i="3" s="1"/>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BL319" i="3"/>
  <c r="G320" i="3"/>
  <c r="BA322" i="3"/>
  <c r="AZ322" i="3"/>
  <c r="BL323" i="3"/>
  <c r="AZ323" i="3"/>
  <c r="G324" i="3"/>
  <c r="BA326" i="3"/>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45" i="3"/>
  <c r="AZ269" i="3"/>
  <c r="AZ273" i="3"/>
  <c r="BA379" i="3"/>
  <c r="BL380" i="3"/>
  <c r="G381" i="3"/>
  <c r="BA383" i="3"/>
  <c r="AZ383" i="3" s="1"/>
  <c r="BL384" i="3"/>
  <c r="AZ384" i="3" s="1"/>
  <c r="G385" i="3"/>
  <c r="BA387" i="3"/>
  <c r="BL388" i="3"/>
  <c r="G389" i="3"/>
  <c r="BA391" i="3"/>
  <c r="AZ391" i="3" s="1"/>
  <c r="BL392" i="3"/>
  <c r="AZ392" i="3" s="1"/>
  <c r="G393" i="3"/>
  <c r="AZ275" i="3"/>
  <c r="AZ287" i="3"/>
  <c r="AZ295" i="3"/>
  <c r="AZ299" i="3"/>
  <c r="AZ317" i="3"/>
  <c r="AZ333" i="3"/>
  <c r="AC5" i="3"/>
  <c r="AZ343" i="3"/>
  <c r="G17" i="3"/>
  <c r="BA17" i="3"/>
  <c r="AZ368" i="3"/>
  <c r="BA15" i="3"/>
  <c r="BB5" i="3"/>
  <c r="E8" i="6" s="1"/>
  <c r="AZ388" i="3"/>
  <c r="AZ396" i="3"/>
  <c r="N4" i="43"/>
  <c r="F36" i="43"/>
  <c r="F81" i="43"/>
  <c r="H82" i="43" s="1"/>
  <c r="H113" i="43"/>
  <c r="F48" i="43"/>
  <c r="H50" i="43" s="1"/>
  <c r="N7" i="43"/>
  <c r="F70" i="43"/>
  <c r="H72" i="43" s="1"/>
  <c r="M6" i="43"/>
  <c r="M11" i="43"/>
  <c r="D17" i="43"/>
  <c r="F39" i="43"/>
  <c r="I17" i="43"/>
  <c r="F35" i="43"/>
  <c r="J17" i="43"/>
  <c r="F6" i="1"/>
  <c r="U17" i="39"/>
  <c r="U43" i="21"/>
  <c r="U35" i="21"/>
  <c r="U10" i="21"/>
  <c r="G8" i="1"/>
  <c r="G9" i="1"/>
  <c r="G10" i="1"/>
  <c r="W44" i="34"/>
  <c r="AC44" i="34"/>
  <c r="AA12" i="40"/>
  <c r="J37" i="33"/>
  <c r="W37" i="33" s="1"/>
  <c r="J34" i="33"/>
  <c r="W34" i="33" s="1"/>
  <c r="F33" i="34"/>
  <c r="S33" i="34" s="1"/>
  <c r="H20" i="36"/>
  <c r="U20" i="36" s="1"/>
  <c r="J20" i="36"/>
  <c r="W20" i="36" s="1"/>
  <c r="J27" i="36"/>
  <c r="AB25" i="37"/>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H34" i="33"/>
  <c r="F35" i="33"/>
  <c r="S35" i="33" s="1"/>
  <c r="F39" i="34"/>
  <c r="S39" i="34" s="1"/>
  <c r="J39" i="34"/>
  <c r="W39" i="34" s="1"/>
  <c r="F40" i="34"/>
  <c r="S40" i="34" s="1"/>
  <c r="F43" i="34"/>
  <c r="AA43" i="34" s="1"/>
  <c r="H44" i="34"/>
  <c r="AB44" i="34" s="1"/>
  <c r="AC38" i="39"/>
  <c r="F39" i="39"/>
  <c r="J39" i="39"/>
  <c r="AC39" i="39" s="1"/>
  <c r="E97" i="39"/>
  <c r="F97" i="39" s="1"/>
  <c r="G97" i="39" s="1"/>
  <c r="AZ354" i="3"/>
  <c r="AZ215" i="3"/>
  <c r="AZ227" i="3"/>
  <c r="AZ232" i="3"/>
  <c r="AZ243" i="3"/>
  <c r="AZ248" i="3"/>
  <c r="AZ271" i="3"/>
  <c r="AZ117" i="3"/>
  <c r="AZ133" i="3"/>
  <c r="AZ29" i="3"/>
  <c r="AZ31" i="3"/>
  <c r="AZ33" i="3"/>
  <c r="AZ37" i="3"/>
  <c r="AZ42" i="3"/>
  <c r="AZ53" i="3"/>
  <c r="AZ58" i="3"/>
  <c r="AZ69" i="3"/>
  <c r="AZ102"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AB33" i="36"/>
  <c r="AZ401" i="3"/>
  <c r="AZ412" i="3"/>
  <c r="AZ417" i="3"/>
  <c r="AZ428" i="3"/>
  <c r="AZ433" i="3"/>
  <c r="AZ465" i="3"/>
  <c r="AZ457" i="3"/>
  <c r="AZ473" i="3"/>
  <c r="AZ490" i="3"/>
  <c r="BL14" i="3"/>
  <c r="AA47" i="34"/>
  <c r="W28" i="37"/>
  <c r="F12" i="33"/>
  <c r="AA12" i="33" s="1"/>
  <c r="H12" i="39"/>
  <c r="F39" i="40"/>
  <c r="AA39" i="40" s="1"/>
  <c r="BA14" i="3"/>
  <c r="AZ14" i="3" s="1"/>
  <c r="AZ213" i="3"/>
  <c r="AZ234" i="3"/>
  <c r="AZ250" i="3"/>
  <c r="AZ297" i="3"/>
  <c r="AZ157" i="3"/>
  <c r="AZ173" i="3"/>
  <c r="AZ189" i="3"/>
  <c r="AZ197" i="3"/>
  <c r="AZ26" i="3"/>
  <c r="AZ35" i="3"/>
  <c r="S12" i="1"/>
  <c r="R12" i="1"/>
  <c r="B12" i="1"/>
  <c r="E12" i="1"/>
  <c r="S10" i="1"/>
  <c r="AQ10" i="1" s="1"/>
  <c r="R10" i="1"/>
  <c r="B10" i="1"/>
  <c r="E10" i="1"/>
  <c r="D1" i="66"/>
  <c r="E10" i="66"/>
  <c r="K12" i="1"/>
  <c r="M12" i="1" s="1"/>
  <c r="S13" i="1"/>
  <c r="AR13" i="1" s="1"/>
  <c r="R13" i="1"/>
  <c r="S11" i="1"/>
  <c r="AQ11" i="1" s="1"/>
  <c r="R11" i="1"/>
  <c r="S9" i="1"/>
  <c r="AR9" i="1" s="1"/>
  <c r="R9" i="1"/>
  <c r="J51" i="67"/>
  <c r="C42" i="1"/>
  <c r="C77" i="9" s="1"/>
  <c r="C74" i="9" s="1"/>
  <c r="H100" i="43"/>
  <c r="C30" i="66"/>
  <c r="E26" i="66" s="1"/>
  <c r="AC34" i="33"/>
  <c r="B41" i="1"/>
  <c r="F48" i="9" s="1"/>
  <c r="O52" i="9" s="1"/>
  <c r="J100" i="43"/>
  <c r="AB37" i="40"/>
  <c r="S35" i="40"/>
  <c r="U35" i="40"/>
  <c r="AC36" i="40"/>
  <c r="AA32" i="40"/>
  <c r="S23" i="40"/>
  <c r="AC17" i="40"/>
  <c r="AC15" i="40"/>
  <c r="S30" i="40"/>
  <c r="AA19" i="40"/>
  <c r="S28" i="40"/>
  <c r="U21" i="40"/>
  <c r="AB19" i="40"/>
  <c r="W42" i="39"/>
  <c r="W39" i="39"/>
  <c r="U35" i="39"/>
  <c r="F32" i="39"/>
  <c r="S32" i="39" s="1"/>
  <c r="F107" i="39"/>
  <c r="G107" i="39" s="1"/>
  <c r="H107" i="39" s="1"/>
  <c r="I107" i="39" s="1"/>
  <c r="J107" i="39" s="1"/>
  <c r="K107" i="39" s="1"/>
  <c r="L107" i="39" s="1"/>
  <c r="M107" i="39" s="1"/>
  <c r="AB27" i="39"/>
  <c r="J21" i="39"/>
  <c r="AC21" i="39" s="1"/>
  <c r="F21" i="39"/>
  <c r="S21" i="39" s="1"/>
  <c r="H21" i="39"/>
  <c r="W19" i="39"/>
  <c r="U19" i="39"/>
  <c r="AC15" i="39"/>
  <c r="S15" i="39"/>
  <c r="S9" i="39"/>
  <c r="U14" i="39"/>
  <c r="U26" i="36"/>
  <c r="S27" i="36"/>
  <c r="AC26" i="36"/>
  <c r="W14" i="36"/>
  <c r="AB14" i="36"/>
  <c r="U22" i="36"/>
  <c r="S16" i="36"/>
  <c r="AA25" i="36"/>
  <c r="AB20" i="36"/>
  <c r="U16" i="36"/>
  <c r="S14" i="36"/>
  <c r="W10" i="36"/>
  <c r="AA25" i="35"/>
  <c r="S23" i="35"/>
  <c r="U29" i="35"/>
  <c r="U28" i="35"/>
  <c r="U32" i="35"/>
  <c r="AA33" i="35"/>
  <c r="AC30" i="35"/>
  <c r="S32" i="35"/>
  <c r="AA36" i="35"/>
  <c r="W32" i="35"/>
  <c r="S28" i="35"/>
  <c r="AB16" i="35"/>
  <c r="AC20" i="35"/>
  <c r="S22" i="35"/>
  <c r="U14" i="35"/>
  <c r="AC10" i="35"/>
  <c r="AB10" i="35"/>
  <c r="S8" i="35"/>
  <c r="W9" i="35"/>
  <c r="W13" i="35"/>
  <c r="F9" i="35"/>
  <c r="H9" i="35"/>
  <c r="U9" i="35" s="1"/>
  <c r="S25" i="37"/>
  <c r="AC9" i="37"/>
  <c r="U29" i="37"/>
  <c r="S32" i="37"/>
  <c r="W30" i="37"/>
  <c r="AA38" i="37"/>
  <c r="U32" i="37"/>
  <c r="W38" i="37"/>
  <c r="AC35" i="37"/>
  <c r="S30" i="37"/>
  <c r="S37" i="37"/>
  <c r="J17" i="37"/>
  <c r="W17" i="37" s="1"/>
  <c r="G73" i="37"/>
  <c r="F17" i="37"/>
  <c r="AA17" i="37" s="1"/>
  <c r="AB17" i="37"/>
  <c r="F75" i="37"/>
  <c r="F19" i="37"/>
  <c r="S19" i="37" s="1"/>
  <c r="F79" i="37"/>
  <c r="G79" i="37" s="1"/>
  <c r="F23" i="37"/>
  <c r="U15" i="37"/>
  <c r="AA12" i="37"/>
  <c r="H10" i="37"/>
  <c r="H60" i="37"/>
  <c r="F63" i="37"/>
  <c r="G63" i="37" s="1"/>
  <c r="H63" i="37" s="1"/>
  <c r="I63" i="37" s="1"/>
  <c r="J63" i="37" s="1"/>
  <c r="K63" i="37" s="1"/>
  <c r="L63" i="37" s="1"/>
  <c r="M63" i="37" s="1"/>
  <c r="F11" i="37"/>
  <c r="S11" i="37"/>
  <c r="W25" i="34"/>
  <c r="AA33" i="34"/>
  <c r="U43" i="34"/>
  <c r="W41" i="34"/>
  <c r="AC42" i="34"/>
  <c r="U39" i="34"/>
  <c r="S43" i="34"/>
  <c r="W34" i="34"/>
  <c r="AA25" i="34"/>
  <c r="S17" i="34"/>
  <c r="S23" i="34"/>
  <c r="U15" i="34"/>
  <c r="S10" i="34"/>
  <c r="H67" i="34"/>
  <c r="H10" i="34"/>
  <c r="U10" i="34" s="1"/>
  <c r="F11" i="34"/>
  <c r="S11" i="34"/>
  <c r="F70" i="34"/>
  <c r="W42" i="33"/>
  <c r="S27" i="33"/>
  <c r="W38" i="33"/>
  <c r="H41" i="33"/>
  <c r="U41"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AC11" i="33"/>
  <c r="W43" i="21"/>
  <c r="AB39" i="21"/>
  <c r="AA43" i="21"/>
  <c r="S39" i="21"/>
  <c r="AA38" i="21"/>
  <c r="AA36" i="21"/>
  <c r="AC40" i="21"/>
  <c r="J15" i="21"/>
  <c r="F23" i="21"/>
  <c r="E85" i="21"/>
  <c r="F85" i="21" s="1"/>
  <c r="AC11" i="21"/>
  <c r="AA14" i="21"/>
  <c r="AB8" i="21"/>
  <c r="S8" i="21"/>
  <c r="M3" i="43"/>
  <c r="N10" i="43"/>
  <c r="M1" i="43"/>
  <c r="M8" i="43"/>
  <c r="N8" i="43"/>
  <c r="N9" i="43"/>
  <c r="D120" i="9"/>
  <c r="D6" i="52" s="1"/>
  <c r="C18" i="9"/>
  <c r="D18" i="9" s="1"/>
  <c r="F34" i="67"/>
  <c r="F62" i="67" s="1"/>
  <c r="M20" i="67"/>
  <c r="G13" i="3"/>
  <c r="F19" i="6" s="1"/>
  <c r="BA13" i="3"/>
  <c r="AZ13" i="3"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8" i="43"/>
  <c r="H70"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A4" i="51"/>
  <c r="B6" i="72" s="1"/>
  <c r="C4" i="12"/>
  <c r="H66" i="43"/>
  <c r="H65" i="43"/>
  <c r="H64" i="43"/>
  <c r="H63" i="43"/>
  <c r="H56" i="43"/>
  <c r="L20" i="6"/>
  <c r="L27" i="6" s="1"/>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C41" i="39"/>
  <c r="AB23" i="39"/>
  <c r="AC25" i="39"/>
  <c r="S13" i="39"/>
  <c r="AB11" i="39"/>
  <c r="U11" i="39"/>
  <c r="AA27" i="39"/>
  <c r="S27" i="39"/>
  <c r="AC17" i="39"/>
  <c r="W34" i="39"/>
  <c r="U38" i="39"/>
  <c r="S8" i="39"/>
  <c r="S20" i="36"/>
  <c r="AC25" i="36"/>
  <c r="S28" i="36"/>
  <c r="AC20" i="36"/>
  <c r="AB28" i="36"/>
  <c r="W23" i="36"/>
  <c r="AB20" i="35"/>
  <c r="U25" i="35"/>
  <c r="W33" i="35"/>
  <c r="U24" i="35"/>
  <c r="W35" i="35"/>
  <c r="AA16" i="35"/>
  <c r="AA35" i="37"/>
  <c r="W36" i="37"/>
  <c r="S27" i="37"/>
  <c r="W32" i="37"/>
  <c r="U36" i="37"/>
  <c r="U38" i="37"/>
  <c r="AB37" i="37"/>
  <c r="S33" i="37"/>
  <c r="AC34" i="37"/>
  <c r="AB35" i="37"/>
  <c r="AA11" i="37"/>
  <c r="AA31" i="37"/>
  <c r="U19" i="37"/>
  <c r="AA8" i="37"/>
  <c r="U8" i="37"/>
  <c r="AB40" i="34"/>
  <c r="U19" i="34"/>
  <c r="W19" i="34"/>
  <c r="AA31" i="34"/>
  <c r="U25" i="34"/>
  <c r="AB36" i="34"/>
  <c r="W33" i="34"/>
  <c r="AC32"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W14" i="33"/>
  <c r="W30" i="33"/>
  <c r="AA31" i="33"/>
  <c r="AC13" i="33"/>
  <c r="U37" i="33"/>
  <c r="W9" i="33"/>
  <c r="W8" i="33"/>
  <c r="AB42" i="21"/>
  <c r="F33" i="21"/>
  <c r="AA33" i="21" s="1"/>
  <c r="J33" i="21"/>
  <c r="H33" i="21"/>
  <c r="AB33" i="21" s="1"/>
  <c r="F37" i="21"/>
  <c r="AA37" i="21" s="1"/>
  <c r="AA26" i="21"/>
  <c r="AB31" i="21"/>
  <c r="W8" i="21"/>
  <c r="S35" i="21"/>
  <c r="J37" i="21"/>
  <c r="W37" i="21" s="1"/>
  <c r="H15" i="21"/>
  <c r="U15" i="21" s="1"/>
  <c r="J17" i="21"/>
  <c r="AC17" i="21" s="1"/>
  <c r="AC19" i="21"/>
  <c r="AC14" i="21"/>
  <c r="W30" i="21"/>
  <c r="H45" i="21"/>
  <c r="H32" i="21"/>
  <c r="H9" i="21"/>
  <c r="J9" i="21"/>
  <c r="AC9" i="21" s="1"/>
  <c r="J32" i="21"/>
  <c r="F32" i="21"/>
  <c r="AA31" i="21"/>
  <c r="U17" i="21"/>
  <c r="S19" i="21"/>
  <c r="S9" i="21"/>
  <c r="AA9" i="21"/>
  <c r="K141" i="21"/>
  <c r="K144" i="21"/>
  <c r="K143" i="21"/>
  <c r="AB25" i="21"/>
  <c r="AA30" i="21"/>
  <c r="W42" i="21"/>
  <c r="AC45" i="21"/>
  <c r="F10" i="21"/>
  <c r="K145" i="21"/>
  <c r="W25" i="21"/>
  <c r="S17" i="21"/>
  <c r="AA15" i="21"/>
  <c r="AC26" i="21"/>
  <c r="S28" i="21"/>
  <c r="AC34" i="21"/>
  <c r="W10" i="21"/>
  <c r="AB36" i="21"/>
  <c r="W30" i="40"/>
  <c r="C19" i="39"/>
  <c r="C15" i="40"/>
  <c r="C17" i="40"/>
  <c r="C23" i="40"/>
  <c r="C21" i="40"/>
  <c r="U30" i="40"/>
  <c r="B54" i="43"/>
  <c r="B65" i="43"/>
  <c r="B49" i="43"/>
  <c r="B52" i="43"/>
  <c r="B56" i="43"/>
  <c r="B60" i="43"/>
  <c r="B63" i="43"/>
  <c r="B67" i="43"/>
  <c r="D23" i="15"/>
  <c r="D22" i="15"/>
  <c r="AQ13" i="1"/>
  <c r="T11" i="1"/>
  <c r="AQ9" i="1"/>
  <c r="AR11" i="1"/>
  <c r="T9" i="1"/>
  <c r="T13" i="1"/>
  <c r="S39" i="40"/>
  <c r="S12" i="33"/>
  <c r="J32" i="39"/>
  <c r="H32" i="39"/>
  <c r="AA32" i="39"/>
  <c r="AA21" i="39"/>
  <c r="W21" i="39"/>
  <c r="AB9" i="35"/>
  <c r="AA9" i="35"/>
  <c r="S9" i="35"/>
  <c r="S17" i="37"/>
  <c r="J19" i="37"/>
  <c r="G75" i="37"/>
  <c r="AA19" i="37"/>
  <c r="J23" i="37"/>
  <c r="W23" i="37" s="1"/>
  <c r="J10" i="37"/>
  <c r="AC10" i="37" s="1"/>
  <c r="I60" i="37"/>
  <c r="H11" i="37"/>
  <c r="U11" i="37" s="1"/>
  <c r="G70" i="34"/>
  <c r="H11" i="34"/>
  <c r="AB10" i="34"/>
  <c r="J10" i="34"/>
  <c r="W10" i="34" s="1"/>
  <c r="I67" i="34"/>
  <c r="H36" i="33"/>
  <c r="U36" i="33" s="1"/>
  <c r="U27" i="33"/>
  <c r="J27" i="33"/>
  <c r="W27" i="33" s="1"/>
  <c r="J25" i="33"/>
  <c r="W25" i="33" s="1"/>
  <c r="F23" i="33"/>
  <c r="AA23" i="33" s="1"/>
  <c r="AC23" i="33"/>
  <c r="AA19" i="33"/>
  <c r="H19" i="33"/>
  <c r="AB19" i="33" s="1"/>
  <c r="H17" i="33"/>
  <c r="F17" i="33"/>
  <c r="S17" i="33" s="1"/>
  <c r="U33" i="21"/>
  <c r="J23" i="21"/>
  <c r="W23" i="21" s="1"/>
  <c r="G85" i="21"/>
  <c r="H23" i="21"/>
  <c r="D121" i="9"/>
  <c r="D7" i="52" s="1"/>
  <c r="K120" i="9"/>
  <c r="T8" i="1"/>
  <c r="AP7" i="1"/>
  <c r="AC33" i="21"/>
  <c r="W33" i="21"/>
  <c r="S33" i="21"/>
  <c r="W32" i="21"/>
  <c r="AC32" i="21"/>
  <c r="AB9" i="21"/>
  <c r="U9" i="21"/>
  <c r="W9" i="21"/>
  <c r="AA10" i="21"/>
  <c r="S10" i="21"/>
  <c r="A18" i="62"/>
  <c r="B64" i="72" s="1"/>
  <c r="U32" i="39"/>
  <c r="AB32" i="39"/>
  <c r="W19" i="37"/>
  <c r="AC19" i="37"/>
  <c r="AC23" i="37"/>
  <c r="AB11" i="37"/>
  <c r="J11" i="37"/>
  <c r="AC11" i="37" s="1"/>
  <c r="W10" i="37"/>
  <c r="U11" i="34"/>
  <c r="AB11" i="34"/>
  <c r="AC10" i="34"/>
  <c r="H70" i="34"/>
  <c r="I70" i="34" s="1"/>
  <c r="J70" i="34" s="1"/>
  <c r="K70" i="34" s="1"/>
  <c r="L70" i="34" s="1"/>
  <c r="M70" i="34" s="1"/>
  <c r="J11" i="34"/>
  <c r="AC11" i="34" s="1"/>
  <c r="U17" i="33"/>
  <c r="AB17" i="33"/>
  <c r="U23" i="21"/>
  <c r="AB23" i="21"/>
  <c r="W11" i="37"/>
  <c r="F34" i="11"/>
  <c r="F11" i="12"/>
  <c r="F34" i="68"/>
  <c r="R8" i="1"/>
  <c r="AE8" i="1"/>
  <c r="H109" i="9"/>
  <c r="H110" i="9"/>
  <c r="D18" i="53" s="1"/>
  <c r="B35" i="72" s="1"/>
  <c r="D124" i="9"/>
  <c r="H14" i="74" s="1"/>
  <c r="B7" i="74" s="1"/>
  <c r="D16" i="53"/>
  <c r="B34" i="72" s="1"/>
  <c r="D10" i="52"/>
  <c r="D125" i="9"/>
  <c r="D11" i="52" s="1"/>
  <c r="H112" i="9"/>
  <c r="D21" i="53" s="1"/>
  <c r="B39" i="72" s="1"/>
  <c r="H111" i="9"/>
  <c r="D126" i="9" s="1"/>
  <c r="I14" i="74" s="1"/>
  <c r="B8" i="74" s="1"/>
  <c r="D19" i="53"/>
  <c r="D20" i="53" s="1"/>
  <c r="B40" i="72" s="1"/>
  <c r="D59" i="9"/>
  <c r="M55" i="9" s="1"/>
  <c r="B38" i="72"/>
  <c r="AD3" i="71"/>
  <c r="J15" i="67"/>
  <c r="B7" i="76"/>
  <c r="B10" i="76"/>
  <c r="D2" i="36"/>
  <c r="F26" i="15"/>
  <c r="B9" i="76"/>
  <c r="F26" i="67"/>
  <c r="AO11" i="1"/>
  <c r="B11" i="76"/>
  <c r="D2" i="35"/>
  <c r="E2" i="69"/>
  <c r="E13" i="76"/>
  <c r="AO10" i="1"/>
  <c r="M9" i="67"/>
  <c r="E10" i="76"/>
  <c r="E2" i="68"/>
  <c r="D2" i="33"/>
  <c r="B13" i="76"/>
  <c r="F16" i="67"/>
  <c r="F40" i="15"/>
  <c r="D2" i="37"/>
  <c r="E12" i="76"/>
  <c r="F38" i="67"/>
  <c r="B12" i="76"/>
  <c r="AO8" i="1"/>
  <c r="M6" i="15"/>
  <c r="M8" i="67"/>
  <c r="D2" i="21"/>
  <c r="M27" i="67"/>
  <c r="F42" i="67"/>
  <c r="AO12" i="1"/>
  <c r="F9" i="15"/>
  <c r="D9" i="68"/>
  <c r="E11" i="76"/>
  <c r="M28" i="67"/>
  <c r="M8" i="15"/>
  <c r="E7" i="76"/>
  <c r="B8" i="76"/>
  <c r="AO9" i="1"/>
  <c r="M22" i="15"/>
  <c r="AO13" i="1"/>
  <c r="C76" i="67"/>
  <c r="D2" i="34"/>
  <c r="E9" i="76"/>
  <c r="E8" i="76"/>
  <c r="C58" i="33" l="1"/>
  <c r="D58" i="33" s="1"/>
  <c r="E58" i="33" s="1"/>
  <c r="F58" i="33" s="1"/>
  <c r="G58" i="33" s="1"/>
  <c r="H58" i="33" s="1"/>
  <c r="I58" i="33" s="1"/>
  <c r="J58" i="33" s="1"/>
  <c r="K58" i="33" s="1"/>
  <c r="L58" i="33" s="1"/>
  <c r="M58" i="33" s="1"/>
  <c r="N58" i="33" s="1"/>
  <c r="O58" i="33" s="1"/>
  <c r="E7" i="33"/>
  <c r="C40" i="11"/>
  <c r="AC32" i="39"/>
  <c r="W32" i="39"/>
  <c r="U45" i="21"/>
  <c r="AB45" i="21"/>
  <c r="S23" i="37"/>
  <c r="AA23" i="37"/>
  <c r="S39" i="39"/>
  <c r="AA39" i="39"/>
  <c r="U34" i="33"/>
  <c r="AB34" i="33"/>
  <c r="U15" i="39"/>
  <c r="AB15" i="39"/>
  <c r="AB12" i="37"/>
  <c r="U12" i="37"/>
  <c r="S9" i="37"/>
  <c r="AA9" i="37"/>
  <c r="W29" i="37"/>
  <c r="AC29" i="37"/>
  <c r="W32" i="36"/>
  <c r="AC32" i="36"/>
  <c r="AA45" i="21"/>
  <c r="S45" i="21"/>
  <c r="AB10" i="36"/>
  <c r="U10" i="36"/>
  <c r="U30" i="21"/>
  <c r="AB30" i="21"/>
  <c r="U14" i="21"/>
  <c r="AB14" i="21"/>
  <c r="W33" i="40"/>
  <c r="AC33" i="40"/>
  <c r="J40" i="40"/>
  <c r="H40" i="40"/>
  <c r="F40" i="40"/>
  <c r="AA40" i="33"/>
  <c r="S40" i="33"/>
  <c r="BA581" i="3"/>
  <c r="AZ581" i="3" s="1"/>
  <c r="BA579" i="3"/>
  <c r="AZ579" i="3" s="1"/>
  <c r="BA577" i="3"/>
  <c r="BL575" i="3"/>
  <c r="BA575" i="3"/>
  <c r="BL571" i="3"/>
  <c r="BA571" i="3"/>
  <c r="BA569" i="3"/>
  <c r="BL567" i="3"/>
  <c r="BA567" i="3"/>
  <c r="AZ567" i="3" s="1"/>
  <c r="BL551" i="3"/>
  <c r="BL540" i="3"/>
  <c r="BL538" i="3"/>
  <c r="BL530" i="3"/>
  <c r="BA528" i="3"/>
  <c r="BA526" i="3"/>
  <c r="BL524" i="3"/>
  <c r="BA524" i="3"/>
  <c r="AZ524" i="3" s="1"/>
  <c r="BL522" i="3"/>
  <c r="AZ522" i="3" s="1"/>
  <c r="BL517" i="3"/>
  <c r="BA517" i="3"/>
  <c r="BA515" i="3"/>
  <c r="BL513" i="3"/>
  <c r="BA513" i="3"/>
  <c r="AZ513" i="3" s="1"/>
  <c r="BL509" i="3"/>
  <c r="BA509" i="3"/>
  <c r="AZ509" i="3" s="1"/>
  <c r="BA507" i="3"/>
  <c r="BA505" i="3"/>
  <c r="AZ505" i="3" s="1"/>
  <c r="BA503" i="3"/>
  <c r="BL501" i="3"/>
  <c r="AZ501" i="3" s="1"/>
  <c r="BL499" i="3"/>
  <c r="BA499" i="3"/>
  <c r="AZ499" i="3" s="1"/>
  <c r="BL497" i="3"/>
  <c r="BA497" i="3"/>
  <c r="BN5" i="3"/>
  <c r="BL494" i="3"/>
  <c r="BG5" i="3"/>
  <c r="BC5" i="3"/>
  <c r="BA494" i="3"/>
  <c r="AZ494" i="3" s="1"/>
  <c r="BJ5" i="3"/>
  <c r="H5" i="3"/>
  <c r="G493" i="3"/>
  <c r="W11" i="34"/>
  <c r="W31" i="21"/>
  <c r="S32" i="21"/>
  <c r="AA32" i="21"/>
  <c r="U32" i="21"/>
  <c r="AB32" i="21"/>
  <c r="AB33" i="34"/>
  <c r="AA40" i="34"/>
  <c r="U41" i="39"/>
  <c r="H55" i="43"/>
  <c r="H54" i="43"/>
  <c r="H81" i="43"/>
  <c r="S23" i="21"/>
  <c r="AA23" i="21"/>
  <c r="U10" i="33"/>
  <c r="AB10" i="33"/>
  <c r="F36" i="33"/>
  <c r="U10" i="37"/>
  <c r="AB10" i="37"/>
  <c r="S20" i="35"/>
  <c r="U21" i="39"/>
  <c r="AB21" i="39"/>
  <c r="U12" i="40"/>
  <c r="AZ387" i="3"/>
  <c r="AZ379" i="3"/>
  <c r="AZ326" i="3"/>
  <c r="W11" i="39"/>
  <c r="AC11" i="39"/>
  <c r="W35" i="40"/>
  <c r="S25" i="21"/>
  <c r="AA25" i="21"/>
  <c r="BQ5" i="3"/>
  <c r="BL507" i="3"/>
  <c r="AZ507" i="3" s="1"/>
  <c r="AA11" i="40"/>
  <c r="S11" i="40"/>
  <c r="J9" i="36"/>
  <c r="H9" i="36"/>
  <c r="J11" i="36"/>
  <c r="F11" i="36"/>
  <c r="H11" i="36"/>
  <c r="J24" i="36"/>
  <c r="H24" i="36"/>
  <c r="F24" i="36"/>
  <c r="S31" i="36"/>
  <c r="AA31" i="36"/>
  <c r="AB30" i="37"/>
  <c r="U30" i="37"/>
  <c r="AB9" i="37"/>
  <c r="U9" i="37"/>
  <c r="H14" i="37"/>
  <c r="F14" i="37"/>
  <c r="J14" i="37"/>
  <c r="H27" i="37"/>
  <c r="J27" i="37"/>
  <c r="AC27" i="37" s="1"/>
  <c r="J40" i="37"/>
  <c r="H40" i="37"/>
  <c r="U40" i="37" s="1"/>
  <c r="F40" i="37"/>
  <c r="AC39" i="37"/>
  <c r="W39" i="37"/>
  <c r="J12" i="39"/>
  <c r="F12" i="39"/>
  <c r="J14" i="39"/>
  <c r="F14" i="39"/>
  <c r="AC23" i="39"/>
  <c r="W23" i="39"/>
  <c r="W31" i="39"/>
  <c r="AC31" i="39"/>
  <c r="W37" i="39"/>
  <c r="AC37" i="39"/>
  <c r="W15" i="21"/>
  <c r="AC15" i="21"/>
  <c r="AB12" i="39"/>
  <c r="U12" i="39"/>
  <c r="W27" i="36"/>
  <c r="AC27" i="36"/>
  <c r="H73" i="43"/>
  <c r="H74" i="43"/>
  <c r="H78" i="43"/>
  <c r="H71" i="43"/>
  <c r="H76" i="43"/>
  <c r="H77" i="43"/>
  <c r="H52" i="43"/>
  <c r="H48" i="43"/>
  <c r="H53" i="43"/>
  <c r="H51" i="43"/>
  <c r="H83" i="43"/>
  <c r="H86" i="43"/>
  <c r="H87" i="43"/>
  <c r="H85" i="43"/>
  <c r="H84" i="43"/>
  <c r="AA25" i="39"/>
  <c r="S25" i="39"/>
  <c r="U35" i="34"/>
  <c r="AB35" i="34"/>
  <c r="AA37" i="39"/>
  <c r="S37" i="39"/>
  <c r="J31" i="40"/>
  <c r="F31" i="40"/>
  <c r="AA31" i="40" s="1"/>
  <c r="AC41" i="21"/>
  <c r="W41" i="21"/>
  <c r="G111" i="33"/>
  <c r="H111" i="33" s="1"/>
  <c r="I111" i="33" s="1"/>
  <c r="J111" i="33" s="1"/>
  <c r="K111" i="33" s="1"/>
  <c r="L111" i="33" s="1"/>
  <c r="M111" i="33" s="1"/>
  <c r="J36" i="33"/>
  <c r="AC36" i="33" s="1"/>
  <c r="AB31" i="35"/>
  <c r="U31" i="35"/>
  <c r="C79" i="35"/>
  <c r="H26" i="35" s="1"/>
  <c r="J26" i="35"/>
  <c r="BL580" i="3"/>
  <c r="BA580" i="3"/>
  <c r="AZ580" i="3" s="1"/>
  <c r="BL578" i="3"/>
  <c r="BA578" i="3"/>
  <c r="AZ578" i="3" s="1"/>
  <c r="BL576" i="3"/>
  <c r="BA576" i="3"/>
  <c r="AZ576" i="3" s="1"/>
  <c r="BL574" i="3"/>
  <c r="AZ574" i="3" s="1"/>
  <c r="BA572" i="3"/>
  <c r="AZ572" i="3" s="1"/>
  <c r="BL570" i="3"/>
  <c r="BA570" i="3"/>
  <c r="AZ570" i="3" s="1"/>
  <c r="BL568" i="3"/>
  <c r="BA568" i="3"/>
  <c r="AZ568" i="3" s="1"/>
  <c r="BL566" i="3"/>
  <c r="BA566" i="3"/>
  <c r="AZ566" i="3" s="1"/>
  <c r="BL549" i="3"/>
  <c r="BA549" i="3"/>
  <c r="BL541" i="3"/>
  <c r="BA539" i="3"/>
  <c r="BL537" i="3"/>
  <c r="BA535" i="3"/>
  <c r="BL529" i="3"/>
  <c r="BA527" i="3"/>
  <c r="BL525" i="3"/>
  <c r="BA525" i="3"/>
  <c r="BA523" i="3"/>
  <c r="BL521" i="3"/>
  <c r="AZ521" i="3" s="1"/>
  <c r="BA521" i="3"/>
  <c r="BL520" i="3"/>
  <c r="BA520" i="3"/>
  <c r="BL518" i="3"/>
  <c r="BA518" i="3"/>
  <c r="BL516" i="3"/>
  <c r="BA516" i="3"/>
  <c r="BL514" i="3"/>
  <c r="BA514" i="3"/>
  <c r="BL512" i="3"/>
  <c r="BA512" i="3"/>
  <c r="BL510" i="3"/>
  <c r="BA510" i="3"/>
  <c r="BL508" i="3"/>
  <c r="BA508" i="3"/>
  <c r="BL506" i="3"/>
  <c r="BA506" i="3"/>
  <c r="BL504" i="3"/>
  <c r="BA504" i="3"/>
  <c r="BA502" i="3"/>
  <c r="AZ502" i="3" s="1"/>
  <c r="BA500" i="3"/>
  <c r="AZ500" i="3" s="1"/>
  <c r="BL498" i="3"/>
  <c r="BA498" i="3"/>
  <c r="BL496" i="3"/>
  <c r="BA496" i="3"/>
  <c r="BS5" i="3"/>
  <c r="BL495" i="3"/>
  <c r="BA495" i="3"/>
  <c r="AZ495" i="3" s="1"/>
  <c r="BK5" i="3"/>
  <c r="BL493" i="3"/>
  <c r="AZ493" i="3" s="1"/>
  <c r="BF5" i="3"/>
  <c r="AZ372" i="3"/>
  <c r="AZ337" i="3"/>
  <c r="AZ345" i="3"/>
  <c r="W12" i="37"/>
  <c r="AC12" i="37"/>
  <c r="G509" i="3"/>
  <c r="BL519" i="3"/>
  <c r="AZ519" i="3" s="1"/>
  <c r="BL573" i="3"/>
  <c r="AZ573" i="3" s="1"/>
  <c r="AZ554" i="3"/>
  <c r="AZ558" i="3"/>
  <c r="U28" i="37"/>
  <c r="AB28" i="37"/>
  <c r="W17" i="34"/>
  <c r="AC17" i="34"/>
  <c r="AA14" i="35"/>
  <c r="S14" i="35"/>
  <c r="AB36" i="39"/>
  <c r="U36" i="39"/>
  <c r="AB12" i="21"/>
  <c r="U12" i="21"/>
  <c r="F12" i="21"/>
  <c r="J12" i="21"/>
  <c r="H28" i="21"/>
  <c r="J28" i="21"/>
  <c r="B71" i="43"/>
  <c r="C21" i="39"/>
  <c r="B74" i="43"/>
  <c r="C27" i="39"/>
  <c r="J27" i="34"/>
  <c r="F27" i="34"/>
  <c r="H27" i="34"/>
  <c r="AC23" i="35"/>
  <c r="W23" i="35"/>
  <c r="S34" i="37"/>
  <c r="AA34" i="37"/>
  <c r="AZ562" i="3"/>
  <c r="AC47" i="34"/>
  <c r="W47" i="34"/>
  <c r="AC37" i="37"/>
  <c r="W37" i="37"/>
  <c r="AB36" i="40"/>
  <c r="U36" i="40"/>
  <c r="AA42" i="39"/>
  <c r="S42" i="39"/>
  <c r="AB39" i="37"/>
  <c r="U39" i="37"/>
  <c r="AC36" i="39"/>
  <c r="W36" i="39"/>
  <c r="S36" i="39"/>
  <c r="AA36" i="39"/>
  <c r="BL587" i="3"/>
  <c r="BA587" i="3"/>
  <c r="BA585" i="3"/>
  <c r="AB40" i="33"/>
  <c r="U40" i="33"/>
  <c r="E106" i="33"/>
  <c r="F106" i="33" s="1"/>
  <c r="G106" i="33" s="1"/>
  <c r="H106" i="33" s="1"/>
  <c r="I106" i="33" s="1"/>
  <c r="J106" i="33" s="1"/>
  <c r="K106" i="33" s="1"/>
  <c r="L106" i="33" s="1"/>
  <c r="M106" i="33" s="1"/>
  <c r="F34" i="33"/>
  <c r="S34" i="33" s="1"/>
  <c r="E123" i="33"/>
  <c r="F123" i="33" s="1"/>
  <c r="G123" i="33" s="1"/>
  <c r="H123" i="33" s="1"/>
  <c r="I123" i="33" s="1"/>
  <c r="J123" i="33" s="1"/>
  <c r="K123" i="33" s="1"/>
  <c r="L123" i="33" s="1"/>
  <c r="M123" i="33" s="1"/>
  <c r="H42" i="33"/>
  <c r="AB42" i="33" s="1"/>
  <c r="J12" i="33"/>
  <c r="H12" i="33"/>
  <c r="H30" i="33"/>
  <c r="F30" i="33"/>
  <c r="H44" i="33"/>
  <c r="F44" i="33"/>
  <c r="S44" i="33" s="1"/>
  <c r="H13" i="34"/>
  <c r="J13" i="34"/>
  <c r="F13" i="34"/>
  <c r="J29" i="34"/>
  <c r="H29" i="34"/>
  <c r="H45" i="34"/>
  <c r="F45" i="34"/>
  <c r="F13" i="35"/>
  <c r="H13" i="35"/>
  <c r="U23" i="35"/>
  <c r="AB23" i="35"/>
  <c r="J24" i="35"/>
  <c r="AC24" i="35" s="1"/>
  <c r="F24" i="35"/>
  <c r="AA24" i="35" s="1"/>
  <c r="AA27" i="35"/>
  <c r="S27" i="35"/>
  <c r="J12" i="36"/>
  <c r="H12" i="36"/>
  <c r="F12" i="36"/>
  <c r="H23" i="36"/>
  <c r="F23" i="36"/>
  <c r="F32" i="36"/>
  <c r="H32" i="36"/>
  <c r="H13" i="37"/>
  <c r="F13" i="37"/>
  <c r="S13" i="37" s="1"/>
  <c r="J26" i="37"/>
  <c r="H26" i="37"/>
  <c r="AB26" i="37" s="1"/>
  <c r="U41" i="21"/>
  <c r="AB41" i="21"/>
  <c r="AA30" i="36"/>
  <c r="S30" i="36"/>
  <c r="BL584" i="3"/>
  <c r="BA584" i="3"/>
  <c r="BA583" i="3"/>
  <c r="AZ583" i="3" s="1"/>
  <c r="BL582" i="3"/>
  <c r="AZ582" i="3" s="1"/>
  <c r="BA564" i="3"/>
  <c r="AZ564" i="3" s="1"/>
  <c r="BA563" i="3"/>
  <c r="AZ563" i="3" s="1"/>
  <c r="BL560" i="3"/>
  <c r="BA560" i="3"/>
  <c r="AZ560" i="3" s="1"/>
  <c r="BA559" i="3"/>
  <c r="BA557" i="3"/>
  <c r="BL556" i="3"/>
  <c r="AZ556" i="3" s="1"/>
  <c r="BA553" i="3"/>
  <c r="BL548" i="3"/>
  <c r="BA547" i="3"/>
  <c r="BL546" i="3"/>
  <c r="AZ546" i="3" s="1"/>
  <c r="BL545" i="3"/>
  <c r="BL15" i="3"/>
  <c r="AZ402" i="3"/>
  <c r="AZ406" i="3"/>
  <c r="AZ419" i="3"/>
  <c r="AZ435" i="3"/>
  <c r="AZ451" i="3"/>
  <c r="AZ458" i="3"/>
  <c r="AZ462" i="3"/>
  <c r="AZ469" i="3"/>
  <c r="E108" i="43"/>
  <c r="E100" i="43"/>
  <c r="U21" i="33"/>
  <c r="AB21" i="33"/>
  <c r="S21" i="37"/>
  <c r="AA21" i="37"/>
  <c r="U18" i="35"/>
  <c r="AB18" i="35"/>
  <c r="AA18" i="36"/>
  <c r="S18" i="36"/>
  <c r="D52" i="71"/>
  <c r="O52" i="71"/>
  <c r="C20" i="71"/>
  <c r="Y19" i="71"/>
  <c r="Z19" i="71" s="1"/>
  <c r="AB16" i="71"/>
  <c r="X22" i="71"/>
  <c r="X18" i="71"/>
  <c r="C37" i="71"/>
  <c r="D36" i="71"/>
  <c r="P54" i="71"/>
  <c r="U54" i="71"/>
  <c r="E53" i="71"/>
  <c r="U62" i="71"/>
  <c r="E61" i="71"/>
  <c r="E60" i="71" s="1"/>
  <c r="AC12" i="43"/>
  <c r="AC10" i="43"/>
  <c r="AE12" i="43"/>
  <c r="AE10" i="43"/>
  <c r="AG12" i="43"/>
  <c r="AG10" i="43"/>
  <c r="AI12" i="43"/>
  <c r="AI10" i="43"/>
  <c r="Y12" i="71"/>
  <c r="Z12" i="71" s="1"/>
  <c r="AZ15" i="3"/>
  <c r="AZ338" i="3"/>
  <c r="AZ351" i="3"/>
  <c r="AZ342" i="3"/>
  <c r="AZ313" i="3"/>
  <c r="AZ380" i="3"/>
  <c r="AZ360" i="3"/>
  <c r="BL503" i="3"/>
  <c r="AZ503" i="3" s="1"/>
  <c r="BL515" i="3"/>
  <c r="AZ515" i="3" s="1"/>
  <c r="BL523" i="3"/>
  <c r="AZ523" i="3" s="1"/>
  <c r="BL553" i="3"/>
  <c r="BL559" i="3"/>
  <c r="AZ559" i="3" s="1"/>
  <c r="BL569" i="3"/>
  <c r="AZ569" i="3" s="1"/>
  <c r="BL577" i="3"/>
  <c r="AZ577" i="3" s="1"/>
  <c r="BL557" i="3"/>
  <c r="G570" i="3"/>
  <c r="G556" i="3"/>
  <c r="BA550" i="3"/>
  <c r="BA548" i="3"/>
  <c r="AZ548" i="3" s="1"/>
  <c r="BL547" i="3"/>
  <c r="AZ547" i="3" s="1"/>
  <c r="G547" i="3"/>
  <c r="G546" i="3"/>
  <c r="BA545" i="3"/>
  <c r="BL544" i="3"/>
  <c r="BA544" i="3"/>
  <c r="G544" i="3"/>
  <c r="BL543" i="3"/>
  <c r="AZ543" i="3" s="1"/>
  <c r="G543" i="3"/>
  <c r="BL542" i="3"/>
  <c r="BA542" i="3"/>
  <c r="BA541" i="3"/>
  <c r="AZ541" i="3" s="1"/>
  <c r="BA540" i="3"/>
  <c r="AZ540" i="3" s="1"/>
  <c r="G540" i="3"/>
  <c r="BL539" i="3"/>
  <c r="AZ539" i="3" s="1"/>
  <c r="G539" i="3"/>
  <c r="BA538" i="3"/>
  <c r="AZ538" i="3" s="1"/>
  <c r="G538" i="3"/>
  <c r="BA537" i="3"/>
  <c r="AZ537" i="3" s="1"/>
  <c r="BL536" i="3"/>
  <c r="BA536" i="3"/>
  <c r="BL535" i="3"/>
  <c r="AZ535" i="3" s="1"/>
  <c r="G535" i="3"/>
  <c r="BL534" i="3"/>
  <c r="BA534" i="3"/>
  <c r="G534" i="3"/>
  <c r="BA533" i="3"/>
  <c r="AZ533" i="3" s="1"/>
  <c r="BL532" i="3"/>
  <c r="BA532" i="3"/>
  <c r="G532" i="3"/>
  <c r="BL531" i="3"/>
  <c r="BA531" i="3"/>
  <c r="BA530" i="3"/>
  <c r="AZ530" i="3" s="1"/>
  <c r="BA529" i="3"/>
  <c r="AZ529" i="3" s="1"/>
  <c r="BP5" i="3"/>
  <c r="BL528" i="3"/>
  <c r="BI5" i="3"/>
  <c r="BE5" i="3"/>
  <c r="G528" i="3"/>
  <c r="BT5" i="3"/>
  <c r="BR5" i="3"/>
  <c r="BL527" i="3"/>
  <c r="AZ527" i="3" s="1"/>
  <c r="BO5" i="3"/>
  <c r="F29" i="6" s="1"/>
  <c r="BL526" i="3"/>
  <c r="BH5" i="3"/>
  <c r="BD5" i="3"/>
  <c r="C5" i="11"/>
  <c r="G7" i="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AZ70" i="3"/>
  <c r="W21" i="34"/>
  <c r="AC21" i="34"/>
  <c r="AC18" i="35"/>
  <c r="Y14" i="71"/>
  <c r="Z14" i="71"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G24" i="3"/>
  <c r="G25" i="3"/>
  <c r="BL25" i="3"/>
  <c r="AZ25" i="3" s="1"/>
  <c r="BA27" i="3"/>
  <c r="AZ27" i="3" s="1"/>
  <c r="AZ103" i="3"/>
  <c r="AA25" i="40"/>
  <c r="S25" i="40"/>
  <c r="O53" i="71"/>
  <c r="D53" i="71"/>
  <c r="G28" i="3"/>
  <c r="G29" i="3"/>
  <c r="G30" i="3"/>
  <c r="BL30" i="3"/>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F13" i="71"/>
  <c r="F12" i="71" s="1"/>
  <c r="E14" i="71"/>
  <c r="AA12" i="71"/>
  <c r="C13" i="71"/>
  <c r="X14" i="71"/>
  <c r="AA15" i="71"/>
  <c r="X15" i="71"/>
  <c r="X17" i="71"/>
  <c r="AB22" i="71"/>
  <c r="T54" i="71"/>
  <c r="D54" i="71"/>
  <c r="V54" i="71"/>
  <c r="Q54" i="71"/>
  <c r="Z12" i="43"/>
  <c r="Z10" i="43"/>
  <c r="AD12" i="43"/>
  <c r="AD10" i="43"/>
  <c r="AH12" i="43"/>
  <c r="AH10" i="43"/>
  <c r="C18" i="71"/>
  <c r="D18" i="71" s="1"/>
  <c r="Y15" i="71"/>
  <c r="Z15" i="71" s="1"/>
  <c r="AB15" i="71"/>
  <c r="AB20" i="71"/>
  <c r="E33" i="71"/>
  <c r="E34" i="71" s="1"/>
  <c r="U34" i="71" s="1"/>
  <c r="F7" i="33"/>
  <c r="S7" i="33" s="1"/>
  <c r="S25" i="33"/>
  <c r="AZ557" i="3"/>
  <c r="AC9" i="36"/>
  <c r="W9" i="36"/>
  <c r="AB23" i="36"/>
  <c r="U23" i="36"/>
  <c r="AB13" i="37"/>
  <c r="U13" i="37"/>
  <c r="AC26" i="37"/>
  <c r="W26" i="37"/>
  <c r="D63" i="40"/>
  <c r="C65" i="40"/>
  <c r="AZ587" i="3"/>
  <c r="S14" i="34"/>
  <c r="AA14" i="34"/>
  <c r="U12" i="35"/>
  <c r="AB12" i="35"/>
  <c r="U11" i="35"/>
  <c r="AB11" i="35"/>
  <c r="AZ544" i="3"/>
  <c r="AZ542" i="3"/>
  <c r="AZ536" i="3"/>
  <c r="AZ534" i="3"/>
  <c r="AZ532" i="3"/>
  <c r="AZ531" i="3"/>
  <c r="G29" i="6"/>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B10" i="70"/>
  <c r="F66" i="67"/>
  <c r="F68" i="15"/>
  <c r="Q71" i="67"/>
  <c r="B13" i="70"/>
  <c r="B8" i="70"/>
  <c r="B11" i="70"/>
  <c r="C27" i="15"/>
  <c r="C27" i="67"/>
  <c r="B12" i="70"/>
  <c r="B9" i="70"/>
  <c r="K1" i="73"/>
  <c r="F31" i="15"/>
  <c r="M17" i="15"/>
  <c r="F59" i="67"/>
  <c r="F59" i="15"/>
  <c r="F31" i="67"/>
  <c r="M17" i="67"/>
  <c r="F13" i="67"/>
  <c r="M22" i="67"/>
  <c r="F37" i="67"/>
  <c r="C76" i="15"/>
  <c r="J15" i="15"/>
  <c r="M26" i="15"/>
  <c r="F8" i="67"/>
  <c r="M24" i="67"/>
  <c r="L48" i="15"/>
  <c r="M29" i="67"/>
  <c r="L48" i="67"/>
  <c r="F37" i="15"/>
  <c r="L47" i="67"/>
  <c r="F42" i="15"/>
  <c r="M26" i="67"/>
  <c r="L47" i="15"/>
  <c r="M6" i="67"/>
  <c r="F36" i="67"/>
  <c r="F40" i="67"/>
  <c r="F43" i="67"/>
  <c r="F7" i="67"/>
  <c r="F36" i="15"/>
  <c r="M23" i="15"/>
  <c r="F16" i="15"/>
  <c r="F8" i="15"/>
  <c r="M24" i="15"/>
  <c r="F6" i="67"/>
  <c r="C36" i="68"/>
  <c r="F13" i="15"/>
  <c r="F6" i="15"/>
  <c r="M28" i="15"/>
  <c r="M23" i="67"/>
  <c r="F27" i="68"/>
  <c r="F38" i="15"/>
  <c r="I7" i="33" l="1"/>
  <c r="J7" i="33" s="1"/>
  <c r="G7" i="33"/>
  <c r="H7" i="33" s="1"/>
  <c r="AB7" i="33" s="1"/>
  <c r="F66" i="15"/>
  <c r="L59" i="15"/>
  <c r="Q74" i="15" s="1"/>
  <c r="N59" i="15"/>
  <c r="M59" i="15"/>
  <c r="F65" i="67"/>
  <c r="F51" i="15"/>
  <c r="AB26" i="35"/>
  <c r="U26" i="35"/>
  <c r="AZ446" i="3"/>
  <c r="AZ545" i="3"/>
  <c r="AZ553" i="3"/>
  <c r="AZ584" i="3"/>
  <c r="AA32" i="36"/>
  <c r="S32" i="36"/>
  <c r="U13" i="35"/>
  <c r="AB13" i="35"/>
  <c r="S45" i="34"/>
  <c r="AA45" i="34"/>
  <c r="AB29" i="34"/>
  <c r="U29" i="34"/>
  <c r="AA13" i="34"/>
  <c r="S13" i="34"/>
  <c r="U13" i="34"/>
  <c r="AB13" i="34"/>
  <c r="AB44" i="33"/>
  <c r="U44" i="33"/>
  <c r="AB30" i="33"/>
  <c r="U30" i="33"/>
  <c r="W12" i="33"/>
  <c r="AC12" i="33"/>
  <c r="AB27" i="34"/>
  <c r="U27" i="34"/>
  <c r="W27" i="34"/>
  <c r="AC27" i="34"/>
  <c r="AB28" i="21"/>
  <c r="U28" i="21"/>
  <c r="S12" i="21"/>
  <c r="AA12" i="21"/>
  <c r="AZ496" i="3"/>
  <c r="AZ498" i="3"/>
  <c r="AZ504" i="3"/>
  <c r="AZ506" i="3"/>
  <c r="AZ508" i="3"/>
  <c r="AZ510" i="3"/>
  <c r="AZ512" i="3"/>
  <c r="AZ514" i="3"/>
  <c r="AZ516" i="3"/>
  <c r="AZ518" i="3"/>
  <c r="AZ520" i="3"/>
  <c r="AZ525" i="3"/>
  <c r="AZ549" i="3"/>
  <c r="F26" i="35"/>
  <c r="AA14" i="39"/>
  <c r="S14" i="39"/>
  <c r="S12" i="39"/>
  <c r="AA12" i="39"/>
  <c r="AA40" i="37"/>
  <c r="S40" i="37"/>
  <c r="AC40" i="37"/>
  <c r="W40" i="37"/>
  <c r="U27" i="37"/>
  <c r="AB27" i="37"/>
  <c r="AA24" i="36"/>
  <c r="S24" i="36"/>
  <c r="AC24" i="36"/>
  <c r="W24" i="36"/>
  <c r="AA36" i="33"/>
  <c r="S36" i="33"/>
  <c r="AZ526" i="3"/>
  <c r="S40" i="40"/>
  <c r="AA40" i="40"/>
  <c r="AC40" i="40"/>
  <c r="W40" i="40"/>
  <c r="P21" i="43"/>
  <c r="E29" i="6"/>
  <c r="K15" i="1" s="1"/>
  <c r="E13" i="71"/>
  <c r="E12" i="71" s="1"/>
  <c r="V14" i="71"/>
  <c r="P53" i="71"/>
  <c r="E52" i="71"/>
  <c r="C38" i="71"/>
  <c r="D37" i="71"/>
  <c r="AB32" i="36"/>
  <c r="U32" i="36"/>
  <c r="AA23" i="36"/>
  <c r="S23" i="36"/>
  <c r="S12" i="36"/>
  <c r="AA12" i="36"/>
  <c r="AC12" i="36"/>
  <c r="W12" i="36"/>
  <c r="S13" i="35"/>
  <c r="AA13" i="35"/>
  <c r="U45" i="34"/>
  <c r="AB45" i="34"/>
  <c r="AC29" i="34"/>
  <c r="W29" i="34"/>
  <c r="AC13" i="34"/>
  <c r="W13" i="34"/>
  <c r="AA30" i="33"/>
  <c r="S30" i="33"/>
  <c r="U12" i="33"/>
  <c r="AB12" i="33"/>
  <c r="AA27" i="34"/>
  <c r="S27" i="34"/>
  <c r="W28" i="21"/>
  <c r="AC28" i="21"/>
  <c r="AC12" i="21"/>
  <c r="W12" i="21"/>
  <c r="AC26" i="35"/>
  <c r="W26" i="35"/>
  <c r="AC31" i="40"/>
  <c r="W31" i="40"/>
  <c r="AC14" i="39"/>
  <c r="W14" i="39"/>
  <c r="W12" i="39"/>
  <c r="AC12" i="39"/>
  <c r="AC14" i="37"/>
  <c r="W14" i="37"/>
  <c r="AB24" i="36"/>
  <c r="U24" i="36"/>
  <c r="U11" i="36"/>
  <c r="AB11" i="36"/>
  <c r="AC11" i="36"/>
  <c r="W11" i="36"/>
  <c r="F28" i="6"/>
  <c r="F30" i="6" s="1"/>
  <c r="AZ497" i="3"/>
  <c r="AZ5" i="3" s="1"/>
  <c r="AZ517" i="3"/>
  <c r="AZ528" i="3"/>
  <c r="AZ571" i="3"/>
  <c r="AZ575" i="3"/>
  <c r="U40" i="40"/>
  <c r="AB40" i="40"/>
  <c r="J7" i="36"/>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AA7" i="36" s="1"/>
  <c r="R36" i="36" s="1"/>
  <c r="H7" i="36"/>
  <c r="U7" i="36" s="1"/>
  <c r="H7" i="37"/>
  <c r="U7" i="37" s="1"/>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AB7" i="36"/>
  <c r="T36" i="36" s="1"/>
  <c r="G36" i="36" s="1"/>
  <c r="AB7" i="37"/>
  <c r="T42" i="37" s="1"/>
  <c r="G42" i="37" s="1"/>
  <c r="AC7" i="37"/>
  <c r="V42" i="37" s="1"/>
  <c r="I42" i="37" s="1"/>
  <c r="H7" i="35"/>
  <c r="C5" i="43"/>
  <c r="D5" i="43"/>
  <c r="P23" i="43"/>
  <c r="B71" i="39" s="1"/>
  <c r="P25" i="43"/>
  <c r="F37" i="79"/>
  <c r="F43" i="79"/>
  <c r="F42" i="79"/>
  <c r="M29" i="79"/>
  <c r="F7" i="73"/>
  <c r="L47" i="79"/>
  <c r="M22" i="79"/>
  <c r="M23" i="79"/>
  <c r="F41" i="15"/>
  <c r="D7" i="73"/>
  <c r="M24" i="79"/>
  <c r="D5" i="73"/>
  <c r="M26" i="79"/>
  <c r="F8" i="79"/>
  <c r="F6" i="73"/>
  <c r="F6" i="79"/>
  <c r="F5" i="73"/>
  <c r="F7" i="79"/>
  <c r="C76" i="79"/>
  <c r="M6" i="79"/>
  <c r="D3" i="73"/>
  <c r="J15" i="79"/>
  <c r="F43" i="15"/>
  <c r="F26" i="79"/>
  <c r="AE6" i="1"/>
  <c r="F16" i="79"/>
  <c r="L48" i="79"/>
  <c r="F4" i="73"/>
  <c r="M29" i="15"/>
  <c r="F3" i="73"/>
  <c r="F36" i="79"/>
  <c r="F40" i="79"/>
  <c r="M8" i="79"/>
  <c r="F38" i="79"/>
  <c r="F7" i="15"/>
  <c r="F13" i="79"/>
  <c r="D4" i="73"/>
  <c r="M9" i="79"/>
  <c r="M28" i="79"/>
  <c r="D6" i="73"/>
  <c r="C16" i="67"/>
  <c r="S7" i="36" l="1"/>
  <c r="W7" i="33"/>
  <c r="AC7" i="33"/>
  <c r="Q61" i="15"/>
  <c r="E3" i="6"/>
  <c r="AY6" i="3"/>
  <c r="AC6" i="3"/>
  <c r="H6" i="3"/>
  <c r="P51" i="71"/>
  <c r="P52" i="71"/>
  <c r="S26" i="35"/>
  <c r="AA26" i="35"/>
  <c r="T48" i="33"/>
  <c r="G48" i="33" s="1"/>
  <c r="G52" i="33" s="1"/>
  <c r="H52" i="33" s="1"/>
  <c r="D38" i="71"/>
  <c r="T38" i="71"/>
  <c r="Q74" i="67"/>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E6" i="3"/>
  <c r="AA32" i="33"/>
  <c r="R48" i="33" s="1"/>
  <c r="S32" i="33"/>
  <c r="D30" i="71"/>
  <c r="T30" i="71"/>
  <c r="F63" i="40"/>
  <c r="E65" i="40"/>
  <c r="N52" i="71"/>
  <c r="N51" i="71"/>
  <c r="Q52" i="67"/>
  <c r="F1" i="67"/>
  <c r="E30" i="6"/>
  <c r="K14" i="1"/>
  <c r="M14" i="1" s="1"/>
  <c r="O14" i="1" s="1"/>
  <c r="P14" i="1" s="1"/>
  <c r="W32" i="33"/>
  <c r="AC32" i="33"/>
  <c r="V48" i="33" s="1"/>
  <c r="I48" i="33" s="1"/>
  <c r="D22" i="71"/>
  <c r="T22" i="71"/>
  <c r="M6" i="1"/>
  <c r="C34" i="69"/>
  <c r="H16" i="1"/>
  <c r="Q16" i="1"/>
  <c r="G16" i="1"/>
  <c r="D8" i="71"/>
  <c r="C7" i="7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D10" i="68"/>
  <c r="M27" i="79"/>
  <c r="M27" i="15"/>
  <c r="G1" i="73"/>
  <c r="AE7" i="1"/>
  <c r="C17" i="15"/>
  <c r="C16" i="79"/>
  <c r="C16" i="15"/>
  <c r="D3" i="21" l="1"/>
  <c r="M18" i="9"/>
  <c r="B118" i="9" s="1"/>
  <c r="B14" i="74" s="1"/>
  <c r="D3" i="37"/>
  <c r="E6" i="6"/>
  <c r="D3" i="34"/>
  <c r="D37" i="11"/>
  <c r="C37" i="11" s="1"/>
  <c r="D19" i="11"/>
  <c r="C19" i="11" s="1"/>
  <c r="C20" i="11" s="1"/>
  <c r="D14" i="12"/>
  <c r="C17" i="4"/>
  <c r="B4" i="52" s="1"/>
  <c r="B43" i="72" s="1"/>
  <c r="B40" i="1"/>
  <c r="F24" i="79" s="1"/>
  <c r="C24" i="79" s="1"/>
  <c r="I52" i="33"/>
  <c r="J52" i="33" s="1"/>
  <c r="G53" i="33"/>
  <c r="H53" i="33" s="1"/>
  <c r="E48" i="33"/>
  <c r="I53" i="33" s="1"/>
  <c r="J53" i="33" s="1"/>
  <c r="R49" i="33"/>
  <c r="C6" i="71"/>
  <c r="D7" i="71"/>
  <c r="F10" i="40"/>
  <c r="H10" i="40"/>
  <c r="J10" i="39"/>
  <c r="F10" i="39"/>
  <c r="J10" i="40"/>
  <c r="H10" i="39"/>
  <c r="F27" i="69"/>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S25" i="6"/>
  <c r="H26" i="6"/>
  <c r="S26" i="6"/>
  <c r="S23" i="6"/>
  <c r="H23" i="6"/>
  <c r="R23" i="6" s="1"/>
  <c r="S24" i="6"/>
  <c r="H24" i="6"/>
  <c r="M19" i="6"/>
  <c r="K27" i="6"/>
  <c r="H21" i="6"/>
  <c r="S21" i="6"/>
  <c r="H20" i="6"/>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C17" i="79"/>
  <c r="C14" i="15"/>
  <c r="C14" i="67"/>
  <c r="F41" i="67"/>
  <c r="C34" i="68"/>
  <c r="F41" i="79"/>
  <c r="C17" i="67"/>
  <c r="R20" i="6" l="1"/>
  <c r="R7" i="1" s="1"/>
  <c r="R25" i="6"/>
  <c r="C14" i="12"/>
  <c r="D17" i="12"/>
  <c r="C17" i="12" s="1"/>
  <c r="D20" i="12"/>
  <c r="C20" i="12" s="1"/>
  <c r="D10" i="69"/>
  <c r="D10" i="11"/>
  <c r="C10" i="11" s="1"/>
  <c r="F69" i="79"/>
  <c r="F69" i="67"/>
  <c r="F25" i="12"/>
  <c r="C26" i="12" s="1"/>
  <c r="D25" i="12" s="1"/>
  <c r="F24" i="67"/>
  <c r="C24" i="67" s="1"/>
  <c r="F24" i="15"/>
  <c r="C24" i="15" s="1"/>
  <c r="F22" i="11"/>
  <c r="C23" i="11" s="1"/>
  <c r="F22" i="69"/>
  <c r="C44" i="69" s="1"/>
  <c r="D41" i="69" s="1"/>
  <c r="F22" i="68"/>
  <c r="C26" i="68" s="1"/>
  <c r="D22" i="68" s="1"/>
  <c r="C61" i="79"/>
  <c r="C66" i="79"/>
  <c r="C18" i="67"/>
  <c r="C15" i="67"/>
  <c r="E7" i="70"/>
  <c r="E2" i="70" s="1"/>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AR7" i="1"/>
  <c r="T7" i="1"/>
  <c r="T16" i="1" s="1"/>
  <c r="AQ7" i="1"/>
  <c r="C38" i="68"/>
  <c r="C35" i="68"/>
  <c r="C15" i="15"/>
  <c r="C18" i="15"/>
  <c r="C19" i="68"/>
  <c r="D37" i="68"/>
  <c r="C37" i="68" s="1"/>
  <c r="R24" i="6"/>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M21" i="67"/>
  <c r="C14" i="79"/>
  <c r="F35" i="67"/>
  <c r="C34" i="67" l="1"/>
  <c r="F63" i="67"/>
  <c r="C62" i="67" s="1"/>
  <c r="J20" i="67"/>
  <c r="C10" i="69"/>
  <c r="C8" i="69" s="1"/>
  <c r="C5" i="69" s="1"/>
  <c r="C23" i="69" s="1"/>
  <c r="D19" i="69"/>
  <c r="C23" i="68"/>
  <c r="C26" i="69"/>
  <c r="D22" i="69" s="1"/>
  <c r="C26" i="11"/>
  <c r="D22" i="11" s="1"/>
  <c r="C24" i="11"/>
  <c r="C44" i="11"/>
  <c r="D41" i="11" s="1"/>
  <c r="C25" i="11"/>
  <c r="C44" i="68"/>
  <c r="D41" i="68"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19" i="69" l="1"/>
  <c r="D37" i="69"/>
  <c r="C37" i="69" s="1"/>
  <c r="C33" i="69" s="1"/>
  <c r="C33" i="11"/>
  <c r="C42" i="11" s="1"/>
  <c r="C22" i="11"/>
  <c r="C31" i="11" s="1"/>
  <c r="C16" i="12"/>
  <c r="C21" i="12" s="1"/>
  <c r="C22" i="12" s="1"/>
  <c r="C30" i="12" s="1"/>
  <c r="C28" i="12" s="1"/>
  <c r="C19" i="79"/>
  <c r="C20" i="79" s="1"/>
  <c r="C26" i="79" s="1"/>
  <c r="C39" i="1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0" i="69" l="1"/>
  <c r="C25" i="69" s="1"/>
  <c r="C24" i="69"/>
  <c r="C46" i="11"/>
  <c r="C45" i="11" s="1"/>
  <c r="C39" i="69"/>
  <c r="C46" i="69" s="1"/>
  <c r="C45" i="69" s="1"/>
  <c r="C42" i="69"/>
  <c r="C27" i="12"/>
  <c r="C25" i="12" s="1"/>
  <c r="C32" i="12" s="1"/>
  <c r="B2" i="12" s="1"/>
  <c r="B3" i="12"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M21" i="79"/>
  <c r="F35" i="79"/>
  <c r="F35" i="15"/>
  <c r="M21" i="15"/>
  <c r="C28" i="69" l="1"/>
  <c r="C27" i="69" s="1"/>
  <c r="C22" i="69"/>
  <c r="C43" i="69"/>
  <c r="C41" i="69" s="1"/>
  <c r="C49" i="69" s="1"/>
  <c r="C51" i="69" s="1"/>
  <c r="C26" i="43"/>
  <c r="B2" i="43" s="1"/>
  <c r="Q70" i="15"/>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J7" i="34"/>
  <c r="Q66" i="67"/>
  <c r="Q57" i="67"/>
  <c r="E6" i="76"/>
  <c r="D20" i="9"/>
  <c r="L51" i="15"/>
  <c r="B6" i="76"/>
  <c r="B3" i="68"/>
  <c r="C31" i="69" l="1"/>
  <c r="C52" i="69" s="1"/>
  <c r="B2" i="69" s="1"/>
  <c r="B3" i="69" s="1"/>
  <c r="H7" i="34"/>
  <c r="C94" i="9"/>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C57" i="69" l="1"/>
  <c r="C56" i="69" s="1"/>
  <c r="B3" i="76"/>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F52" i="15"/>
  <c r="C49" i="15" s="1"/>
  <c r="C53" i="15" s="1"/>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AO6" i="1"/>
  <c r="D19" i="9"/>
  <c r="D21" i="9" l="1"/>
  <c r="D102" i="9"/>
  <c r="B6" i="70"/>
  <c r="B2" i="70" s="1"/>
  <c r="B3" i="15"/>
  <c r="D34" i="9"/>
  <c r="D35"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E23" i="74" l="1"/>
  <c r="F23" i="74"/>
  <c r="D17" i="74" l="1"/>
  <c r="G17" i="74" l="1"/>
  <c r="E17" i="74"/>
  <c r="F17" i="74"/>
  <c r="D16" i="74" l="1"/>
  <c r="F16" i="74" l="1"/>
  <c r="G16" i="74"/>
  <c r="E16" i="74"/>
  <c r="D15" i="74" l="1"/>
  <c r="G15" i="74" l="1"/>
  <c r="B6" i="74" s="1"/>
  <c r="F15" i="74"/>
  <c r="E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<sst xmlns="http://schemas.openxmlformats.org/spreadsheetml/2006/main" count="8161" uniqueCount="3299">
  <si>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</si>
  <si>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</si>
  <si>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</si>
  <si>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</si>
  <si>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</si>
  <si>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</si>
  <si>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</si>
  <si>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</si>
  <si>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</si>
  <si>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</si>
  <si>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</si>
  <si>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</si>
  <si>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</si>
  <si>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</si>
  <si>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</si>
  <si>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</si>
  <si>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</si>
  <si>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</si>
  <si>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</si>
  <si>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</si>
  <si>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</si>
  <si>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</si>
  <si>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</si>
  <si>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</si>
  <si>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</si>
  <si>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</si>
  <si>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</si>
  <si>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</si>
  <si>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</si>
  <si>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</si>
  <si>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</si>
  <si>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</si>
  <si>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</si>
  <si>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</si>
  <si>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</si>
  <si>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</si>
  <si>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</si>
  <si>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</si>
  <si>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</si>
  <si>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</si>
  <si>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</si>
  <si>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</si>
  <si>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</si>
  <si>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</si>
  <si>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</si>
  <si>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</si>
  <si>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</si>
  <si>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</si>
  <si>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</si>
  <si>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</si>
  <si>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</si>
  <si>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</si>
  <si>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</si>
  <si>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</si>
  <si>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</si>
  <si>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</si>
  <si>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</si>
  <si>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</si>
  <si>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</si>
  <si>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</si>
  <si>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</si>
  <si>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</si>
  <si>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</si>
  <si>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</si>
  <si>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</si>
  <si>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</si>
  <si>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</si>
  <si>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</si>
  <si>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</si>
  <si>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</si>
  <si>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</si>
  <si>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</si>
  <si>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</si>
  <si>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</si>
  <si>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</si>
  <si>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</si>
  <si>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</si>
  <si>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</si>
  <si>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</si>
  <si>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</si>
  <si>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</si>
  <si>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</si>
  <si>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</si>
  <si>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</si>
  <si>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</si>
  <si>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</si>
  <si>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</si>
  <si>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</si>
  <si>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</si>
  <si>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</si>
  <si>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</si>
  <si>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</si>
  <si>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</si>
  <si>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</si>
  <si>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</si>
  <si>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</si>
  <si>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</si>
  <si>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</si>
  <si>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</si>
  <si>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</si>
  <si>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</si>
  <si>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</si>
  <si>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</si>
  <si>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</si>
  <si>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</si>
  <si>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</si>
  <si>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</si>
  <si>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</si>
  <si>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</si>
  <si>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</si>
  <si>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</si>
  <si>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</si>
  <si>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</si>
  <si>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</si>
  <si>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</si>
  <si>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</si>
  <si>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</si>
  <si>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</si>
  <si>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</si>
  <si>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</si>
  <si>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</si>
  <si>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</si>
  <si>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</si>
  <si>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</si>
  <si>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</si>
  <si>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</si>
  <si>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</si>
  <si>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</si>
  <si>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</si>
  <si>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</si>
  <si>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</si>
  <si>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</si>
  <si>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</si>
  <si>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</si>
  <si>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</si>
  <si>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</si>
  <si>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</si>
  <si>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</si>
  <si>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</si>
  <si>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</si>
  <si>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</si>
  <si>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</si>
  <si>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</si>
  <si>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</si>
  <si>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</si>
  <si>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</si>
  <si>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</si>
  <si>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</si>
  <si>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</si>
  <si>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</si>
  <si>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</si>
  <si>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</si>
  <si>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</si>
  <si>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</si>
  <si>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</si>
  <si>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</si>
  <si>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</si>
  <si>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</si>
  <si>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</si>
  <si>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</si>
  <si>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</si>
  <si>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</si>
  <si>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</si>
  <si>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</si>
  <si>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</si>
  <si>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</si>
  <si>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</si>
  <si>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</si>
  <si>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</si>
  <si>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</si>
  <si>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</si>
  <si>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</si>
  <si>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</si>
  <si>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</si>
  <si>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</si>
  <si>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</si>
  <si>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</si>
  <si>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</si>
  <si>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</si>
  <si>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</si>
  <si>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</si>
  <si>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</si>
  <si>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</si>
  <si>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</si>
  <si>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</si>
  <si>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</si>
  <si>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</si>
  <si>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</si>
  <si>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</si>
  <si>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</si>
  <si>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</si>
  <si>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</si>
  <si>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</si>
  <si>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</si>
  <si>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</si>
  <si>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</si>
  <si>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</si>
  <si>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</si>
  <si>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</si>
  <si>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</si>
  <si>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</si>
  <si>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</si>
  <si>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</si>
  <si>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</si>
  <si>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</si>
  <si>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</si>
  <si>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</si>
  <si>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</si>
  <si>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</si>
  <si>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</si>
  <si>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</si>
  <si>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</si>
  <si>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</si>
  <si>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</si>
  <si>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</si>
  <si>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</si>
  <si>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</si>
  <si>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</si>
  <si>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</si>
  <si>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</si>
  <si>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</si>
  <si>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</si>
  <si>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</si>
  <si>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</si>
  <si>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</si>
  <si>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</si>
  <si>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</si>
  <si>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</si>
  <si>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</si>
  <si>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</si>
  <si>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</si>
  <si>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</si>
  <si>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</si>
  <si>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</si>
  <si>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</si>
  <si>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</si>
  <si>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</si>
  <si>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</si>
  <si>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</si>
  <si>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</si>
  <si>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</si>
  <si>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</si>
  <si>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</si>
  <si>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</si>
  <si>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</si>
  <si>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</si>
  <si>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</si>
  <si>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</si>
  <si>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</si>
  <si>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</si>
  <si>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</si>
  <si>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</si>
  <si>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</si>
  <si>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</si>
  <si>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</si>
  <si>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</si>
  <si>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</si>
  <si>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</si>
  <si>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</si>
  <si>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</si>
  <si>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</si>
  <si>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</si>
  <si>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</si>
  <si>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</si>
  <si>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</si>
  <si>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</si>
  <si>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</si>
  <si>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</si>
  <si>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</si>
  <si>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</si>
  <si>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</si>
  <si>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</si>
  <si>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</si>
  <si>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</si>
  <si>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</si>
  <si>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</si>
  <si>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</si>
  <si>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</si>
  <si>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</si>
  <si>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</si>
  <si>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</si>
  <si>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</si>
  <si>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</si>
  <si>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</si>
  <si>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</si>
  <si>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</si>
  <si>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</si>
  <si>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</si>
  <si>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</si>
  <si>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</si>
  <si>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</si>
  <si>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</si>
  <si>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</si>
  <si>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</si>
  <si>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</si>
  <si>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</si>
  <si>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</si>
  <si>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</si>
  <si>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</si>
  <si>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</si>
  <si>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</si>
  <si>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</si>
  <si>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</si>
  <si>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</si>
  <si>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</si>
  <si>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</si>
  <si>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</si>
  <si>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</si>
  <si>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</si>
  <si>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</si>
  <si>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</si>
  <si>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</si>
  <si>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</si>
  <si>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</si>
  <si>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</si>
  <si>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</si>
  <si>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</si>
  <si>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</si>
  <si>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</si>
  <si>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</si>
  <si>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</si>
  <si>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</si>
  <si>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</si>
  <si>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</si>
  <si>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</si>
  <si>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</si>
  <si>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</si>
  <si>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</si>
  <si>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</si>
  <si>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</si>
  <si>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</si>
  <si>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</si>
  <si>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</si>
  <si>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</si>
  <si>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</si>
  <si>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</si>
  <si>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</si>
  <si>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</si>
  <si>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</si>
  <si>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</si>
  <si>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</si>
  <si>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</si>
  <si>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</si>
  <si>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</si>
  <si>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</si>
  <si>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</si>
  <si>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</si>
  <si>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</si>
  <si>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</si>
  <si>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</si>
  <si>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</si>
  <si>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</si>
  <si>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</si>
  <si>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</si>
  <si>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</si>
  <si>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</si>
  <si>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</si>
  <si>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</si>
  <si>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</si>
  <si>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</si>
  <si>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</si>
  <si>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</si>
  <si>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</si>
  <si>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</si>
  <si>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</si>
  <si>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</si>
  <si>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</si>
  <si>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</si>
  <si>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</si>
  <si>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</si>
  <si>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</si>
  <si>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</si>
  <si>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</si>
  <si>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</si>
  <si>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</si>
  <si>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</si>
  <si>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</si>
  <si>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</si>
  <si>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</si>
  <si>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</si>
  <si>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</si>
  <si>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</si>
  <si>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</si>
  <si>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</si>
  <si>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</si>
  <si>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</si>
  <si>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</si>
  <si>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</si>
  <si>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</si>
  <si>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</si>
  <si>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</si>
  <si>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</si>
  <si>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</si>
  <si>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</si>
  <si>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</si>
  <si>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</si>
  <si>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</si>
  <si>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</si>
  <si>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</si>
  <si>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</si>
  <si>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</si>
  <si>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</si>
  <si>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</si>
  <si>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</si>
  <si>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</si>
  <si>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</si>
  <si>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</si>
  <si>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</si>
  <si>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</si>
  <si>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</si>
  <si>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</si>
  <si>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</si>
  <si>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</si>
  <si>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</si>
  <si>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</si>
  <si>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</si>
  <si>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</si>
  <si>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</si>
  <si>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</si>
  <si>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</si>
  <si>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</si>
  <si>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</si>
  <si>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</si>
  <si>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</si>
  <si>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</si>
  <si>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</si>
  <si>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</si>
  <si>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</si>
  <si>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</si>
  <si>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</si>
  <si>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</si>
  <si>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</si>
  <si>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</si>
  <si>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</si>
  <si>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</si>
  <si>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</si>
  <si>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</si>
  <si>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</si>
  <si>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</si>
  <si>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</si>
  <si>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</si>
  <si>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</si>
  <si>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</si>
  <si>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</si>
  <si>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</si>
  <si>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</si>
  <si>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</si>
  <si>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</si>
  <si>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</si>
  <si>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</si>
  <si>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</si>
  <si>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</si>
  <si>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</si>
  <si>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</si>
  <si>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</si>
  <si>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</si>
  <si>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</si>
  <si>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</si>
  <si>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</si>
  <si>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</si>
  <si>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</si>
  <si>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</si>
  <si>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</si>
  <si>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</si>
  <si>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</si>
  <si>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</si>
  <si>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</si>
  <si>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</si>
  <si>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</si>
  <si>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</si>
  <si>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</si>
  <si>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</si>
  <si>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</si>
  <si>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</si>
  <si>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</si>
  <si>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</si>
  <si>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</si>
  <si>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</si>
  <si>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</si>
  <si>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</si>
  <si>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</si>
  <si>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</si>
  <si>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</si>
  <si>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</si>
  <si>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</si>
  <si>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</si>
  <si>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</si>
  <si>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</si>
  <si>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</si>
  <si>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</si>
  <si>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</si>
  <si>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</si>
  <si>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</si>
  <si>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</si>
  <si>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</si>
  <si>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</si>
  <si>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</si>
  <si>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</si>
  <si>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</si>
  <si>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</si>
  <si>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</si>
  <si>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</si>
  <si>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</si>
  <si>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</si>
  <si>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</si>
  <si>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</si>
  <si>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</si>
  <si>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</si>
  <si>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</si>
  <si>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</si>
  <si>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</si>
  <si>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</si>
  <si>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</si>
  <si>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</si>
  <si>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</si>
  <si>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</si>
  <si>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</si>
  <si>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</si>
  <si>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</si>
  <si>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</si>
  <si>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</si>
  <si>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</si>
  <si>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</si>
  <si>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</si>
  <si>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</si>
  <si>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</si>
  <si>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</si>
  <si>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</si>
  <si>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</si>
  <si>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</si>
  <si>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</si>
  <si>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</si>
  <si>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</si>
  <si>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</si>
  <si>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</si>
  <si>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</si>
  <si>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</si>
  <si>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</si>
  <si>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</si>
  <si>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</si>
  <si>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</si>
  <si>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</si>
  <si>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</si>
  <si>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</si>
  <si>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</si>
  <si>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</si>
  <si>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</si>
  <si>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</si>
  <si>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</si>
  <si>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</si>
  <si>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</si>
  <si>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</si>
  <si>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</si>
  <si>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</si>
  <si>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</si>
  <si>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</si>
  <si>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</si>
  <si>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</si>
  <si>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</si>
  <si>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</si>
  <si>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</si>
  <si>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</si>
  <si>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</si>
  <si>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</si>
  <si>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</si>
  <si>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</si>
  <si>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</si>
  <si>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</si>
  <si>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</si>
  <si>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</si>
  <si>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</si>
  <si>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</si>
  <si>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</si>
  <si>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</si>
  <si>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</si>
  <si>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</si>
  <si>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</si>
  <si>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</si>
  <si>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</si>
  <si>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</si>
  <si>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</si>
  <si>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</si>
  <si>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</si>
  <si>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</si>
  <si>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</si>
  <si>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</si>
  <si>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</si>
  <si>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</si>
  <si>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</si>
  <si>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</si>
  <si>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</si>
  <si>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</si>
  <si>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</si>
  <si>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</si>
  <si>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</si>
  <si>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</si>
  <si>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</si>
  <si>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</si>
  <si>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</si>
  <si>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</si>
  <si>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</si>
  <si>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</si>
  <si>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</si>
  <si>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</si>
  <si>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</si>
  <si>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</si>
  <si>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</si>
  <si>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</si>
  <si>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</si>
  <si>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</si>
  <si>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</si>
  <si>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</si>
  <si>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</si>
  <si>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</si>
  <si>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</si>
  <si>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</si>
  <si>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</si>
  <si>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</si>
  <si>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</si>
  <si>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</si>
  <si>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</si>
  <si>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</si>
  <si>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</si>
  <si>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</si>
  <si>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</si>
  <si>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</si>
  <si>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</si>
  <si>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</si>
  <si>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</si>
  <si>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</si>
  <si>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</si>
  <si>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</si>
  <si>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</si>
  <si>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</si>
  <si>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</si>
  <si>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</si>
  <si>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</si>
  <si>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</si>
  <si>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</si>
  <si>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</si>
  <si>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</si>
  <si>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</si>
  <si>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</si>
  <si>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</si>
  <si>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</si>
  <si>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</si>
  <si>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</si>
  <si>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</si>
  <si>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</si>
  <si>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</si>
  <si>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</si>
  <si>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</si>
  <si>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</si>
  <si>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</si>
  <si>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</si>
  <si>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</si>
  <si>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</si>
  <si>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</si>
  <si>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</si>
  <si>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</si>
  <si>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</si>
  <si>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</si>
  <si>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</si>
  <si>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</si>
  <si>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</si>
  <si>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</si>
  <si>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</si>
  <si>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</si>
  <si>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</si>
  <si>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</si>
  <si>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</si>
  <si>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</si>
  <si>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</si>
  <si>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</si>
  <si>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</si>
  <si>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</si>
  <si>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</si>
  <si>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</si>
  <si>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</si>
  <si>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</si>
  <si>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</si>
  <si>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</si>
  <si>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</si>
  <si>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</si>
  <si>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</si>
  <si>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</si>
  <si>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</si>
  <si>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</si>
  <si>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</si>
  <si>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</si>
  <si>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</si>
  <si>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</si>
  <si>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</si>
  <si>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</si>
  <si>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</si>
  <si>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</si>
  <si>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</si>
  <si>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</si>
  <si>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</si>
  <si>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</si>
  <si>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</si>
  <si>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</si>
  <si>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</si>
  <si>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</si>
  <si>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</si>
  <si>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</si>
  <si>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</si>
  <si>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</si>
  <si>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</si>
  <si>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</si>
  <si>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</si>
  <si>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</si>
  <si>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</si>
  <si>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</si>
  <si>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</si>
  <si>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</si>
  <si>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</si>
  <si>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</si>
  <si>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</si>
  <si>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</si>
  <si>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</si>
  <si>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</si>
  <si>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</si>
  <si>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</si>
  <si>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</si>
  <si>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</si>
  <si>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</si>
  <si>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</si>
  <si>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</si>
  <si>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</si>
  <si>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</si>
  <si>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</si>
  <si>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</si>
  <si>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</si>
  <si>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</si>
  <si>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</si>
  <si>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</si>
  <si>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</si>
  <si>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</si>
  <si>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</si>
  <si>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</si>
  <si>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</si>
  <si>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</si>
  <si>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</si>
  <si>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</si>
  <si>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</si>
  <si>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</si>
  <si>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</si>
  <si>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</si>
  <si>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</si>
  <si>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</si>
  <si>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</si>
  <si>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</si>
  <si>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</si>
  <si>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</si>
  <si>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</si>
  <si>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</si>
  <si>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</si>
  <si>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</si>
  <si>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</si>
  <si>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</si>
  <si>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</si>
  <si>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</si>
  <si>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</si>
  <si>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</si>
  <si>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</si>
  <si>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</si>
  <si>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</si>
  <si>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</si>
  <si>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</si>
  <si>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</si>
  <si>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</si>
  <si>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</si>
  <si>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</si>
  <si>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</si>
  <si>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</si>
  <si>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</si>
  <si>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</si>
  <si>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</si>
  <si>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</si>
  <si>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</si>
  <si>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</si>
  <si>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</si>
  <si>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</si>
  <si>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</si>
  <si>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</si>
  <si>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</si>
  <si>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</si>
  <si>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</si>
  <si>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</si>
  <si>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</si>
  <si>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</si>
  <si>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</si>
  <si>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</si>
  <si>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</si>
  <si>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</si>
  <si>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</si>
  <si>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</si>
  <si>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</si>
  <si>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</si>
  <si>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</si>
  <si>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</si>
  <si>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</si>
  <si>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</si>
  <si>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</si>
  <si>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</si>
  <si>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</si>
  <si>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</si>
  <si>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</si>
  <si>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</si>
  <si>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</si>
  <si>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</si>
  <si>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</si>
  <si>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</si>
  <si>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</si>
  <si>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</si>
  <si>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</si>
  <si>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</si>
  <si>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</si>
  <si>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</si>
  <si>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</si>
  <si>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</si>
  <si>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</si>
  <si>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</si>
  <si>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</si>
  <si>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</si>
  <si>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</si>
  <si>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</si>
  <si>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</si>
  <si>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</si>
  <si>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</si>
  <si>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</si>
  <si>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</si>
  <si>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</si>
  <si>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</si>
  <si>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</si>
  <si>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</si>
  <si>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</si>
  <si>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</si>
  <si>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</si>
  <si>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</si>
  <si>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</si>
  <si>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</si>
  <si>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</si>
  <si>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</si>
  <si>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</si>
  <si>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</si>
  <si>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</si>
  <si>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</si>
  <si>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</si>
  <si>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</si>
  <si>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</si>
  <si>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</si>
  <si>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</si>
  <si>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</si>
  <si>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</si>
  <si>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</si>
  <si>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</si>
  <si>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</si>
  <si>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</si>
  <si>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</si>
  <si>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</si>
  <si>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</si>
  <si>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</si>
  <si>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</si>
  <si>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</si>
  <si>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</si>
  <si>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</si>
  <si>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</si>
  <si>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</si>
  <si>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</si>
  <si>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</si>
  <si>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</si>
  <si>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</si>
  <si>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</si>
  <si>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</si>
  <si>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</si>
  <si>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</si>
  <si>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</si>
  <si>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</si>
  <si>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</si>
  <si>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</si>
  <si>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</si>
  <si>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</si>
  <si>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</si>
  <si>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</si>
  <si>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</si>
  <si>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</si>
  <si>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</si>
  <si>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</si>
  <si>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</si>
  <si>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</si>
  <si>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</si>
  <si>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</si>
  <si>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</si>
  <si>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</si>
  <si>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</si>
  <si>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</si>
  <si>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</si>
  <si>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</si>
  <si>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</si>
  <si>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</si>
  <si>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</si>
  <si>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</si>
  <si>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</si>
  <si>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</si>
  <si>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</si>
  <si>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</si>
  <si>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</si>
  <si>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</si>
  <si>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</si>
  <si>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</si>
  <si>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</si>
  <si>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</si>
  <si>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</si>
  <si>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</si>
  <si>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</si>
  <si>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</si>
  <si>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</si>
  <si>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</si>
  <si>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</si>
  <si>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</si>
  <si>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</si>
  <si>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</si>
  <si>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</si>
  <si>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</si>
  <si>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</si>
  <si>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</si>
  <si>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</si>
  <si>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</si>
  <si>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</si>
  <si>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</si>
  <si>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</si>
  <si>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</si>
  <si>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</si>
  <si>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</si>
  <si>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</si>
  <si>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</si>
  <si>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</si>
  <si>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</si>
  <si>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</si>
  <si>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</si>
  <si>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</si>
  <si>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</si>
  <si>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</si>
  <si>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</si>
  <si>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</si>
  <si>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</si>
  <si>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</si>
  <si>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</si>
  <si>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</si>
  <si>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</si>
  <si>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</si>
  <si>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</si>
  <si>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</si>
  <si>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</si>
  <si>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</si>
  <si>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</si>
  <si>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</si>
  <si>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</si>
  <si>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</si>
  <si>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</si>
  <si>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</si>
  <si>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</si>
  <si>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</si>
  <si>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</si>
  <si>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</si>
  <si>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</si>
  <si>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</si>
  <si>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</si>
  <si>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</si>
  <si>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</si>
  <si>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</si>
  <si>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</si>
  <si>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</si>
  <si>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</si>
  <si>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</si>
  <si>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</si>
  <si>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</si>
  <si>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</si>
  <si>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</si>
  <si>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</si>
  <si>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</si>
  <si>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</si>
  <si>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</si>
  <si>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</si>
  <si>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</si>
  <si>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</si>
  <si>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</si>
  <si>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</si>
  <si>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</si>
  <si>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</si>
  <si>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</si>
  <si>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</si>
  <si>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</si>
  <si>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</si>
  <si>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</si>
  <si>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</si>
  <si>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</si>
  <si>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</si>
  <si>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</si>
  <si>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</si>
  <si>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</si>
  <si>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</si>
  <si>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</si>
  <si>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</si>
  <si>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</si>
  <si>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</si>
  <si>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</si>
  <si>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</si>
  <si>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</si>
  <si>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</si>
  <si>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</si>
  <si>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</si>
  <si>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</si>
  <si>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</si>
  <si>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</si>
  <si>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</si>
  <si>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</si>
  <si>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</si>
  <si>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</si>
  <si>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</si>
  <si>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</si>
  <si>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</si>
  <si>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</si>
  <si>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</si>
  <si>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</si>
  <si>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</si>
  <si>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</si>
  <si>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</si>
  <si>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</si>
  <si>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</si>
  <si>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</si>
  <si>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</si>
  <si>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</si>
  <si>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</si>
  <si>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</si>
  <si>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</si>
  <si>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</si>
  <si>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</si>
  <si>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</si>
  <si>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</si>
  <si>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</si>
  <si>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</si>
  <si>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</si>
  <si>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</si>
  <si>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</si>
  <si>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</si>
  <si>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</si>
  <si>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</si>
  <si>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</si>
  <si>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</si>
  <si>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</si>
  <si>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</si>
  <si>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</si>
  <si>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</si>
  <si>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</si>
  <si>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</si>
  <si>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</si>
  <si>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</si>
  <si>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</si>
  <si>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</si>
  <si>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</si>
  <si>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</si>
  <si>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</si>
  <si>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</si>
  <si>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</si>
  <si>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</si>
  <si>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</si>
  <si>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</si>
  <si>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</si>
  <si>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</si>
  <si>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</si>
  <si>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</si>
  <si>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</si>
  <si>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</si>
  <si>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</si>
  <si>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</si>
  <si>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</si>
  <si>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</si>
  <si>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</si>
  <si>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</si>
  <si>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</si>
  <si>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</si>
  <si>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</si>
  <si>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</si>
  <si>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</si>
  <si>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</si>
  <si>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</si>
  <si>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</si>
  <si>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</si>
  <si>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</si>
  <si>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</si>
  <si>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</si>
  <si>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</si>
  <si>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</si>
  <si>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</si>
  <si>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</si>
  <si>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</si>
  <si>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</si>
  <si>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</si>
  <si>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</si>
  <si>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</si>
  <si>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</si>
  <si>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</si>
  <si>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</si>
  <si>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</si>
  <si>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</si>
  <si>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</si>
  <si>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</si>
  <si>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</si>
  <si>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</si>
  <si>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</si>
  <si>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</si>
  <si>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</si>
  <si>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</si>
  <si>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</si>
  <si>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</si>
  <si>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</si>
  <si>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</si>
  <si>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</si>
  <si>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</si>
  <si>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</si>
  <si>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</si>
  <si>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</si>
  <si>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</si>
  <si>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</si>
  <si>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</si>
  <si>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</si>
  <si>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</si>
  <si>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</si>
  <si>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</si>
  <si>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</si>
  <si>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</si>
  <si>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</si>
  <si>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</si>
  <si>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</si>
  <si>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</si>
  <si>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</si>
  <si>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</si>
  <si>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</si>
  <si>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</si>
  <si>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</si>
  <si>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</si>
  <si>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</si>
  <si>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</si>
  <si>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</si>
  <si>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</si>
  <si>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</si>
  <si>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</si>
  <si>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</si>
  <si>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</si>
  <si>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</si>
  <si>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</si>
  <si>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</si>
  <si>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</si>
  <si>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</si>
  <si>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</si>
  <si>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</si>
  <si>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</si>
  <si>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</si>
  <si>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</si>
  <si>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</si>
  <si>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</si>
  <si>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</si>
  <si>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</si>
  <si>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</si>
  <si>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</si>
  <si>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</si>
  <si>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</si>
  <si>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</si>
  <si>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</si>
  <si>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</si>
  <si>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</si>
  <si>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</si>
  <si>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</si>
  <si>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</si>
  <si>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</si>
  <si>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</si>
  <si>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</si>
  <si>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</si>
  <si>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</si>
  <si>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</si>
  <si>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</si>
  <si>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</si>
  <si>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</si>
  <si>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</si>
  <si>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</si>
  <si>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</si>
  <si>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</si>
  <si>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</si>
  <si>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</si>
  <si>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</si>
  <si>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</si>
  <si>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</si>
  <si>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</si>
  <si>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</si>
  <si>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</si>
  <si>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</si>
  <si>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</si>
  <si>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</si>
  <si>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</si>
  <si>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</si>
  <si>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</si>
  <si>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</si>
  <si>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</si>
  <si>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</si>
  <si>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</si>
  <si>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</si>
  <si>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</si>
  <si>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</si>
  <si>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</si>
  <si>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</si>
  <si>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</si>
  <si>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</si>
  <si>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</si>
  <si>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</si>
  <si>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</si>
  <si>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</si>
  <si>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</si>
  <si>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</si>
  <si>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</si>
  <si>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</si>
  <si>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</si>
  <si>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</si>
  <si>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</si>
  <si>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</si>
  <si>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</si>
  <si>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</si>
  <si>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</si>
  <si>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</si>
  <si>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</si>
  <si>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</si>
  <si>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</si>
  <si>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</si>
  <si>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</si>
  <si>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</si>
  <si>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</si>
  <si>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</si>
  <si>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</si>
  <si>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</si>
  <si>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</si>
  <si>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</si>
  <si>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</si>
  <si>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</si>
  <si>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</si>
  <si>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</si>
  <si>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</si>
  <si>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</si>
  <si>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</si>
  <si>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</si>
  <si>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</si>
  <si>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</si>
  <si>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</si>
  <si>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</si>
  <si>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</si>
  <si>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</si>
  <si>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</si>
  <si>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</si>
  <si>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</si>
  <si>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</si>
  <si>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</si>
  <si>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</si>
  <si>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</si>
  <si>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</si>
  <si>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</si>
  <si>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</si>
  <si>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</si>
  <si>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</si>
  <si>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</si>
  <si>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</si>
  <si>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</si>
  <si>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</si>
  <si>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</si>
  <si>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</si>
  <si>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</si>
  <si>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</si>
  <si>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</si>
  <si>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</si>
  <si>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</si>
  <si>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</si>
  <si>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</si>
  <si>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</si>
  <si>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</si>
  <si>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</si>
  <si>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</si>
  <si>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</si>
  <si>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</si>
  <si>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</si>
  <si>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</si>
  <si>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</si>
  <si>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</si>
  <si>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</si>
  <si>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</si>
  <si>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</si>
  <si>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</si>
  <si>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</si>
  <si>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</si>
  <si>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</si>
  <si>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</si>
  <si>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</si>
  <si>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</si>
  <si>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</si>
  <si>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</si>
  <si>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</si>
  <si>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</si>
  <si>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</si>
  <si>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</si>
  <si>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</si>
  <si>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</si>
  <si>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</si>
  <si>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</si>
  <si>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</si>
  <si>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</si>
  <si>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</si>
  <si>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</si>
  <si>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</si>
  <si>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</si>
  <si>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</si>
  <si>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</si>
  <si>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</si>
  <si>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</si>
  <si>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</si>
  <si>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</si>
  <si>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</si>
  <si>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</si>
  <si>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</si>
  <si>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</si>
  <si>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</si>
  <si>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</si>
  <si>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</si>
  <si>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</si>
  <si>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</si>
  <si>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</si>
  <si>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</si>
  <si>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</si>
  <si>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</si>
  <si>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</si>
  <si>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</si>
  <si>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</si>
  <si>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</si>
  <si>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</si>
  <si>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</si>
  <si>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</si>
  <si>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</si>
  <si>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</si>
  <si>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</si>
  <si>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</si>
  <si>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</si>
  <si>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</si>
  <si>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</si>
  <si>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</si>
  <si>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</si>
  <si>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</si>
  <si>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</si>
  <si>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</si>
  <si>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</si>
  <si>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</si>
  <si>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</si>
  <si>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</si>
  <si>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</si>
  <si>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</si>
  <si>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</si>
  <si>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</si>
  <si>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</si>
  <si>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</si>
  <si>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</si>
  <si>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</si>
  <si>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</si>
  <si>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</si>
  <si>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</si>
  <si>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</si>
  <si>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</si>
  <si>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</si>
  <si>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</si>
  <si>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</si>
  <si>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</si>
  <si>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</si>
  <si>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</si>
  <si>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</si>
  <si>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</si>
  <si>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</si>
  <si>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</si>
  <si>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</si>
  <si>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</si>
  <si>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</si>
  <si>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</si>
  <si>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</si>
  <si>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</si>
  <si>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</si>
  <si>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</si>
  <si>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</si>
  <si>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</si>
  <si>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</si>
  <si>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</si>
  <si>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</si>
  <si>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</si>
  <si>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</si>
  <si>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</si>
  <si>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</si>
  <si>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</si>
  <si>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</si>
  <si>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</si>
  <si>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</si>
  <si>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</si>
  <si>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</si>
  <si>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</si>
  <si>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</si>
  <si>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</si>
  <si>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</si>
  <si>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</si>
  <si>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</si>
  <si>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</si>
  <si>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</si>
  <si>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</si>
  <si>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</si>
  <si>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</si>
  <si>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</si>
  <si>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</si>
  <si>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</si>
  <si>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</si>
  <si>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</si>
  <si>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</si>
  <si>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</si>
  <si>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</si>
  <si>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</si>
  <si>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</si>
  <si>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</si>
  <si>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</si>
  <si>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</si>
  <si>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</si>
  <si>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</si>
  <si>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</si>
  <si>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</si>
  <si>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</si>
  <si>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</si>
  <si>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</si>
  <si>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</si>
  <si>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</si>
  <si>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</si>
  <si>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</si>
  <si>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</si>
  <si>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</si>
  <si>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</si>
  <si>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</si>
  <si>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</si>
  <si>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</si>
  <si>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</si>
  <si>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</si>
  <si>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</si>
  <si>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</si>
  <si>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</si>
  <si>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</si>
  <si>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</si>
  <si>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</si>
  <si>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</si>
  <si>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</si>
  <si>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</si>
  <si>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</si>
  <si>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</si>
  <si>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</si>
  <si>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</si>
  <si>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</si>
  <si>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</si>
  <si>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</si>
  <si>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</si>
  <si>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</si>
  <si>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</si>
  <si>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</si>
  <si>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</si>
  <si>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</si>
  <si>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</si>
  <si>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</si>
  <si>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</si>
  <si>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</si>
  <si>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</si>
  <si>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</si>
  <si>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</si>
  <si>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</si>
  <si>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</si>
  <si>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</si>
  <si>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</si>
  <si>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</si>
  <si>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</si>
  <si>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</si>
  <si>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</si>
  <si>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</si>
  <si>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</si>
  <si>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</si>
  <si>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</si>
  <si>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</si>
  <si>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</si>
  <si>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</si>
  <si>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</si>
  <si>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</si>
  <si>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</si>
  <si>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</si>
  <si>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</si>
  <si>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</si>
  <si>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</si>
  <si>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</si>
  <si>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</si>
  <si>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</si>
  <si>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</si>
  <si>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</si>
  <si>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</si>
  <si>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</si>
  <si>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</si>
  <si>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</si>
  <si>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</si>
  <si>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</si>
  <si>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</si>
  <si>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</si>
  <si>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</si>
  <si>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</si>
  <si>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</si>
  <si>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</si>
  <si>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</si>
  <si>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</si>
  <si>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</si>
  <si>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</si>
  <si>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</si>
  <si>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</si>
  <si>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</si>
  <si>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</si>
  <si>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</si>
  <si>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</si>
  <si>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</si>
  <si>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</si>
  <si>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</si>
  <si>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</si>
  <si>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</si>
  <si>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</si>
  <si>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</si>
  <si>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</si>
  <si>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</si>
  <si>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</si>
  <si>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</si>
  <si>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</si>
  <si>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</si>
  <si>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</si>
  <si>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</si>
  <si>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</si>
  <si>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</si>
  <si>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</si>
  <si>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</si>
  <si>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</si>
  <si>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</si>
  <si>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</si>
  <si>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</si>
  <si>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</si>
  <si>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</si>
  <si>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</si>
  <si>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</si>
  <si>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</si>
  <si>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</si>
  <si>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</si>
  <si>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</si>
  <si>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</si>
  <si>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</si>
  <si>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</si>
  <si>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</si>
  <si>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</si>
  <si>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</si>
  <si>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</si>
  <si>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</si>
  <si>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</si>
  <si>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</si>
  <si>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</si>
  <si>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</si>
  <si>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</si>
  <si>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</si>
  <si>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</si>
  <si>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</si>
  <si>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</si>
  <si>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</si>
  <si>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</si>
  <si>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</si>
  <si>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</si>
  <si>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</si>
  <si>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</si>
  <si>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</si>
  <si>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</si>
  <si>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</si>
  <si>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</si>
  <si>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</si>
  <si>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</si>
  <si>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</si>
  <si>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</si>
  <si>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</si>
  <si>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</si>
  <si>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</si>
  <si>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</si>
  <si>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</si>
  <si>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</si>
  <si>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</si>
  <si>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</si>
  <si>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</si>
  <si>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</si>
  <si>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</si>
  <si>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</si>
  <si>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</si>
  <si>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</si>
  <si>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</si>
  <si>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</si>
  <si>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</si>
  <si>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</si>
  <si>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</si>
  <si>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</si>
  <si>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</si>
  <si>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</si>
  <si>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</si>
  <si>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</si>
  <si>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</si>
  <si>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</si>
  <si>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</si>
  <si>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</si>
  <si>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</si>
  <si>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</si>
  <si>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</si>
  <si>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</si>
  <si>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</si>
  <si>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</si>
  <si>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</si>
  <si>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</si>
  <si>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</si>
  <si>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</si>
  <si>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</si>
  <si>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</si>
  <si>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</si>
  <si>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</si>
  <si>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</si>
  <si>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</si>
  <si>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</si>
  <si>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</si>
  <si>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</si>
  <si>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</si>
  <si>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</si>
  <si>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</si>
  <si>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</si>
  <si>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</si>
  <si>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</si>
  <si>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</si>
  <si>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</si>
  <si>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</si>
  <si>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</si>
  <si>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</si>
  <si>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</si>
  <si>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</si>
  <si>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</si>
  <si>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</si>
  <si>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</si>
  <si>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</si>
  <si>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</si>
  <si>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</si>
  <si>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</si>
  <si>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</si>
  <si>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</si>
  <si>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</si>
  <si>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</si>
  <si>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</si>
  <si>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</si>
  <si>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</si>
  <si>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</si>
  <si>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</si>
  <si>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</si>
  <si>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</si>
  <si>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</si>
  <si>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</si>
  <si>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</si>
  <si>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</si>
  <si>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</si>
  <si>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</si>
  <si>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</si>
  <si>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</si>
  <si>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</si>
  <si>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</si>
  <si>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</si>
  <si>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</si>
  <si>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</si>
  <si>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</si>
  <si>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</si>
  <si>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</si>
  <si>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</si>
  <si>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</si>
  <si>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</si>
  <si>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</si>
  <si>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</si>
  <si>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</si>
  <si>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</si>
  <si>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</si>
  <si>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</si>
  <si>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</si>
  <si>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</si>
  <si>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</si>
  <si>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</si>
  <si>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</si>
  <si>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</si>
  <si>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</si>
  <si>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</si>
  <si>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</si>
  <si>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</si>
  <si>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</si>
  <si>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</si>
  <si>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</si>
  <si>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</si>
  <si>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</si>
  <si>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</si>
  <si>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</si>
  <si>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</si>
  <si>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</si>
  <si>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</si>
  <si>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</si>
  <si>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</si>
  <si>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</si>
  <si>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</si>
  <si>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</si>
  <si>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</si>
  <si>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</si>
  <si>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</si>
  <si>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</si>
  <si>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</si>
  <si>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</si>
  <si>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</si>
  <si>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</si>
  <si>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</si>
  <si>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</si>
  <si>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</si>
  <si>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</si>
  <si>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</si>
  <si>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</si>
  <si>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</si>
  <si>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</si>
  <si>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</si>
  <si>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</si>
  <si>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</si>
  <si>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</si>
  <si>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</si>
  <si>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</si>
  <si>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</si>
  <si>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</si>
  <si>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</si>
  <si>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</si>
  <si>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</si>
  <si>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</si>
  <si>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</si>
  <si>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</si>
  <si>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</si>
  <si>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</si>
  <si>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</si>
  <si>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</si>
  <si>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</si>
  <si>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</si>
  <si>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</si>
  <si>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</si>
  <si>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</si>
  <si>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</si>
  <si>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</si>
  <si>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</si>
  <si>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</si>
  <si>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</si>
  <si>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</si>
  <si>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</si>
  <si>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</si>
  <si>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</si>
  <si>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</si>
  <si>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</si>
  <si>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</si>
  <si>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</si>
  <si>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</si>
  <si>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</si>
  <si>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</si>
  <si>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</si>
  <si>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</si>
  <si>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</si>
  <si>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</si>
  <si>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</si>
  <si>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</si>
  <si>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</si>
  <si>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</si>
  <si>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</si>
  <si>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</si>
  <si>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</si>
  <si>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</si>
  <si>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</si>
  <si>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</si>
  <si>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</si>
  <si>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</si>
  <si>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</si>
  <si>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</si>
  <si>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</si>
  <si>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</si>
  <si>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</si>
  <si>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</si>
  <si>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</si>
  <si>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</si>
  <si>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</si>
  <si>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</si>
  <si>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</si>
  <si>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</si>
  <si>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</si>
  <si>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</si>
  <si>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</si>
  <si>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</si>
  <si>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</si>
  <si>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</si>
  <si>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</si>
  <si>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</si>
  <si>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</si>
  <si>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</si>
  <si>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</si>
  <si>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</si>
  <si>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</si>
  <si>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</si>
  <si>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</si>
  <si>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</si>
  <si>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</si>
  <si>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</si>
  <si>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</si>
  <si>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</si>
  <si>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</si>
  <si>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</si>
  <si>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</si>
  <si>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</si>
  <si>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</si>
  <si>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</si>
  <si>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</si>
  <si>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</si>
  <si>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</si>
  <si>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</si>
  <si>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</si>
  <si>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</si>
  <si>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</si>
  <si>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</si>
  <si>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</si>
  <si>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</si>
  <si>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</si>
  <si>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</si>
  <si>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</si>
  <si>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</si>
  <si>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</si>
  <si>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</si>
  <si>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</si>
  <si>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</si>
  <si>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</si>
  <si>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</si>
  <si>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</si>
  <si>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</si>
  <si>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</si>
  <si>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</si>
  <si>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</si>
  <si>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</si>
  <si>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</si>
  <si>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</si>
  <si>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</si>
  <si>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</si>
  <si>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</si>
  <si>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</si>
  <si>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</si>
  <si>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</si>
  <si>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</si>
  <si>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</si>
  <si>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</si>
  <si>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</si>
  <si>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</si>
  <si>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</si>
  <si>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</si>
  <si>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</si>
  <si>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</si>
  <si>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</si>
  <si>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</si>
  <si>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</si>
  <si>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</si>
  <si>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</si>
  <si>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</si>
  <si>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</si>
  <si>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</si>
  <si>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</si>
  <si>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</si>
  <si>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</si>
  <si>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</si>
  <si>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</si>
  <si>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</si>
  <si>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</si>
  <si>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</si>
  <si>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</si>
  <si>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</si>
  <si>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</si>
  <si>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</si>
  <si>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</si>
  <si>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</si>
  <si>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</si>
  <si>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</si>
  <si>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</si>
  <si>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</si>
  <si>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</si>
  <si>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</si>
  <si>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</si>
  <si>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</si>
  <si>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</si>
  <si>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</si>
  <si>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</si>
  <si>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</si>
  <si>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</si>
  <si>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</si>
  <si>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</si>
  <si>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</si>
  <si>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</si>
  <si>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</si>
  <si>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</si>
  <si>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</si>
  <si>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</si>
  <si>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</si>
  <si>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</si>
  <si>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</si>
  <si>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</si>
  <si>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</si>
  <si>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</si>
  <si>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</si>
  <si>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</si>
  <si>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</si>
  <si>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</si>
  <si>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</si>
  <si>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</si>
  <si>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</si>
  <si>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</si>
  <si>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</si>
  <si>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</si>
  <si>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</si>
  <si>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</si>
  <si>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</si>
  <si>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</si>
  <si>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</si>
  <si>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</si>
  <si>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</si>
  <si>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</si>
  <si>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</si>
  <si>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</si>
  <si>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</si>
  <si>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</si>
  <si>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</si>
  <si>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</si>
  <si>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</si>
  <si>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</si>
  <si>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</si>
  <si>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</si>
  <si>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</si>
  <si>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</si>
  <si>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</si>
  <si>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</si>
  <si>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</si>
  <si>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</si>
  <si>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</si>
  <si>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</si>
  <si>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</si>
  <si>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</si>
  <si>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</si>
  <si>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</si>
  <si>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</si>
  <si>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</si>
  <si>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</si>
  <si>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</si>
  <si>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</si>
  <si>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</si>
  <si>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</si>
  <si>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</si>
  <si>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</si>
  <si>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</si>
  <si>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</si>
  <si>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</si>
  <si>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</si>
  <si>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</si>
  <si>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</si>
  <si>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</si>
  <si>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</si>
  <si>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</si>
  <si>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</si>
  <si>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</si>
  <si>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</si>
  <si>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</si>
  <si>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</si>
  <si>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</si>
  <si>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</si>
  <si>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</si>
  <si>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</si>
  <si>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</si>
  <si>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</si>
  <si>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</si>
  <si>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</si>
  <si>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</si>
  <si>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</si>
  <si>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</si>
  <si>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</si>
  <si>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</si>
  <si>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</si>
  <si>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</si>
  <si>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</si>
  <si>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</si>
  <si>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</si>
  <si>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</si>
  <si>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</si>
  <si>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</si>
  <si>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</si>
  <si>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</si>
  <si>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</si>
  <si>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</si>
  <si>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</si>
  <si>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</si>
  <si>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</si>
  <si>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</si>
  <si>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</si>
  <si>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</si>
  <si>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</si>
  <si>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</si>
  <si>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</si>
  <si>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</si>
  <si>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</si>
  <si>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</si>
  <si>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</si>
  <si>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</si>
  <si>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</si>
  <si>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</si>
  <si>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</si>
  <si>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</si>
  <si>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</si>
  <si>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</si>
  <si>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</si>
  <si>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</si>
  <si>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</si>
  <si>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</si>
  <si>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</si>
  <si>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</si>
  <si>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</si>
  <si>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</si>
  <si>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</si>
  <si>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</si>
  <si>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</si>
  <si>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</si>
  <si>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</si>
  <si>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</si>
  <si>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</si>
  <si>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</si>
  <si>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</si>
  <si>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</si>
  <si>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</si>
  <si>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</si>
  <si>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</si>
  <si>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</si>
  <si>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</si>
  <si>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</si>
  <si>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</si>
  <si>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</si>
  <si>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</si>
  <si>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</si>
  <si>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</si>
  <si>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</si>
  <si>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</si>
  <si>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</si>
  <si>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</si>
  <si>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</si>
  <si>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</si>
  <si>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</si>
  <si>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</si>
  <si>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</si>
  <si>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</si>
  <si>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</si>
  <si>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</si>
  <si>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</si>
  <si>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</si>
  <si>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</si>
  <si>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</si>
  <si>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</si>
  <si>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</si>
  <si>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</si>
  <si>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</si>
  <si>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</si>
  <si>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</si>
  <si>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</si>
  <si>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</si>
  <si>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</si>
  <si>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</si>
  <si>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</si>
  <si>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</si>
  <si>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</si>
  <si>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</si>
  <si>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</si>
  <si>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</si>
  <si>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</si>
  <si>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</si>
  <si>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</si>
  <si>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</si>
  <si>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</si>
  <si>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</si>
  <si>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</si>
  <si>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</si>
  <si>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</si>
  <si>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</si>
  <si>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</si>
  <si>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</si>
  <si>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</si>
  <si>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</si>
  <si>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</si>
  <si>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</si>
  <si>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</si>
  <si>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</si>
  <si>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</si>
  <si>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</si>
  <si>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</si>
  <si>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</si>
  <si>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</si>
  <si>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</si>
  <si>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</si>
  <si>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</si>
  <si>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</si>
  <si>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</si>
  <si>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</si>
  <si>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</si>
  <si>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</si>
  <si>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</si>
  <si>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</si>
  <si>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</si>
  <si>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</si>
  <si>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</si>
  <si>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</si>
  <si>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</si>
  <si>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</si>
  <si>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</si>
  <si>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</si>
  <si>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</si>
  <si>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</si>
  <si>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</si>
  <si>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</si>
  <si>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</si>
  <si>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</si>
  <si>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</si>
  <si>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</si>
  <si>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</si>
  <si>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</si>
  <si>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</si>
  <si>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</si>
  <si>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</si>
  <si>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</si>
  <si>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</si>
  <si>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</si>
  <si>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</si>
  <si>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</si>
  <si>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</si>
  <si>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</si>
  <si>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</si>
  <si>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</si>
  <si>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</si>
  <si>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</si>
  <si>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</si>
  <si>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</si>
  <si>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</si>
  <si>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</si>
  <si>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</si>
  <si>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</si>
  <si>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</si>
  <si>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</si>
  <si>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</si>
  <si>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</si>
  <si>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</si>
  <si>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</si>
  <si>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</si>
  <si>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</si>
  <si>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</si>
  <si>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</si>
  <si>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</si>
  <si>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</si>
  <si>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</si>
  <si>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</si>
  <si>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</si>
  <si>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</si>
  <si>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</si>
  <si>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</si>
  <si>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</si>
  <si>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</si>
  <si>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</si>
  <si>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</si>
  <si>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</si>
  <si>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</si>
  <si>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</si>
  <si>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</si>
  <si>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</si>
  <si>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</si>
  <si>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</si>
  <si>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</si>
  <si>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</si>
  <si>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</si>
  <si>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</si>
  <si>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</si>
  <si>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</si>
  <si>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</si>
  <si>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</si>
  <si>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</si>
  <si>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</si>
  <si>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</si>
  <si>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</si>
  <si>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</si>
  <si>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</si>
  <si>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</si>
  <si>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</si>
  <si>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</si>
  <si>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</si>
  <si>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</si>
  <si>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</si>
  <si>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</si>
  <si>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</si>
  <si>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</si>
  <si>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</si>
  <si>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</si>
  <si>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</si>
  <si>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</si>
  <si>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</si>
  <si>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</si>
  <si>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</si>
  <si>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</si>
  <si>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</si>
  <si>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</si>
  <si>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</si>
  <si>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</si>
  <si>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</si>
  <si>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</si>
  <si>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</si>
  <si>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</si>
  <si>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</si>
  <si>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</si>
  <si>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</si>
  <si>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</si>
  <si>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</si>
  <si>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</si>
  <si>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</si>
  <si>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</si>
  <si>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</si>
  <si>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</si>
  <si>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</si>
  <si>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</si>
  <si>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</si>
  <si>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</si>
  <si>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</si>
  <si>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</si>
  <si>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</si>
  <si>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</si>
  <si>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</si>
  <si>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</si>
  <si>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</si>
  <si>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</si>
  <si>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</si>
  <si>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</si>
  <si>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</si>
  <si>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</si>
  <si>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</si>
  <si>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</si>
  <si>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</si>
  <si>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</si>
  <si>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</si>
  <si>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</si>
  <si>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</si>
  <si>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</si>
  <si>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</si>
  <si>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</si>
  <si>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</si>
  <si>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</si>
  <si>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</si>
  <si>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</si>
  <si>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</si>
  <si>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</si>
  <si>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</si>
  <si>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</si>
  <si>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</si>
  <si>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</si>
  <si>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</si>
  <si>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</si>
  <si>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</si>
  <si>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</si>
  <si>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</si>
  <si>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</si>
  <si>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</si>
  <si>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</si>
  <si>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</si>
  <si>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</si>
  <si>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</si>
  <si>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</si>
  <si>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</si>
  <si>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</si>
  <si>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</si>
  <si>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</si>
  <si>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</si>
  <si>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</si>
  <si>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</si>
  <si>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</si>
  <si>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</si>
  <si>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</si>
  <si>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</si>
  <si>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</si>
  <si>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</si>
  <si>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</si>
  <si>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</si>
  <si>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</si>
  <si>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</si>
  <si>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</si>
  <si>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</si>
  <si>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</si>
  <si>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</si>
  <si>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</si>
  <si>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</si>
  <si>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</si>
  <si>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</si>
  <si>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</si>
  <si>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</si>
  <si>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</si>
  <si>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</si>
  <si>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</si>
  <si>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</si>
  <si>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</si>
  <si>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</si>
  <si>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</si>
  <si>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</si>
  <si>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</si>
  <si>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</si>
  <si>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</si>
  <si>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</si>
  <si>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</si>
  <si>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</si>
  <si>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</si>
  <si>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</si>
  <si>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</si>
  <si>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</si>
  <si>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</si>
  <si>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</si>
  <si>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</si>
  <si>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</si>
  <si>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</si>
  <si>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</si>
  <si>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</si>
  <si>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</si>
  <si>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</si>
  <si>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</si>
  <si>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</si>
  <si>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</si>
  <si>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</si>
  <si>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</si>
  <si>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</si>
  <si>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</si>
  <si>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</si>
  <si>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</si>
  <si>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</si>
  <si>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</si>
  <si>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</si>
  <si>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</si>
  <si>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</si>
  <si>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</si>
  <si>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</si>
  <si>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</si>
  <si>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</si>
  <si>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</si>
  <si>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</si>
  <si>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</si>
  <si>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</si>
  <si>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</si>
  <si>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</si>
  <si>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</si>
  <si>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</si>
  <si>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</si>
  <si>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</si>
  <si>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</si>
  <si>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</si>
  <si>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</si>
  <si>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</si>
  <si>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</si>
  <si>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</si>
  <si>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</si>
  <si>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</si>
  <si>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</si>
  <si>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</si>
  <si>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</si>
  <si>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</si>
  <si>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</si>
  <si>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</si>
  <si>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</si>
  <si>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</si>
  <si>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</si>
  <si>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</si>
  <si>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</si>
  <si>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</si>
  <si>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</si>
  <si>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</si>
  <si>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</si>
  <si>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</si>
  <si>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</si>
  <si>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</si>
  <si>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</si>
  <si>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</si>
  <si>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</si>
  <si>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</si>
  <si>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</si>
  <si>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</si>
  <si>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</si>
  <si>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</si>
  <si>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</si>
  <si>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</si>
  <si>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</si>
  <si>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</si>
  <si>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</si>
  <si>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</si>
  <si>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</si>
  <si>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</si>
  <si>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</si>
  <si>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</si>
  <si>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</si>
  <si>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</si>
  <si>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</si>
  <si>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</si>
  <si>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</si>
  <si>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</si>
  <si>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</si>
  <si>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</si>
  <si>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</si>
  <si>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</si>
  <si>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</si>
  <si>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</si>
  <si>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</si>
  <si>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</si>
  <si>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</si>
  <si>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</si>
  <si>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</si>
  <si>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</si>
  <si>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</si>
  <si>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</si>
  <si>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</si>
  <si>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</si>
  <si>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</si>
  <si>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</si>
  <si>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</si>
  <si>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</si>
  <si>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</si>
  <si>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</si>
  <si>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</si>
  <si>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</si>
  <si>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</si>
  <si>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</si>
  <si>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</si>
  <si>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</si>
  <si>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</si>
  <si>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</si>
  <si>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</si>
  <si>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</si>
  <si>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</si>
  <si>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</si>
  <si>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</si>
  <si>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</si>
  <si>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</si>
  <si>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</si>
  <si>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</si>
  <si>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</si>
  <si>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</si>
  <si>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</si>
  <si>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</si>
  <si>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</si>
  <si>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</si>
  <si>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</si>
  <si>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</si>
  <si>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</si>
  <si>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</si>
  <si>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</si>
  <si>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</si>
  <si>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</si>
  <si>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</si>
  <si>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</si>
  <si>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</si>
  <si>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</si>
  <si>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</si>
  <si>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</si>
  <si>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</si>
  <si>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</si>
  <si>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</si>
  <si>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</si>
  <si>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</si>
  <si>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</si>
  <si>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</si>
  <si>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</si>
  <si>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</si>
  <si>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</si>
  <si>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</si>
  <si>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</si>
  <si>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</si>
  <si>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</si>
  <si>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</si>
  <si>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</si>
  <si>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</si>
  <si>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</si>
  <si>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</si>
  <si>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</si>
  <si>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</si>
  <si>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</si>
  <si>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</si>
  <si>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</si>
  <si>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</si>
  <si>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</si>
  <si>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</si>
  <si>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</si>
  <si>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</si>
  <si>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</si>
  <si>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</si>
  <si>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</si>
  <si>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</si>
  <si>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</si>
  <si>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</si>
  <si>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</si>
  <si>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</si>
  <si>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</si>
  <si>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</si>
  <si>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</si>
  <si>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</si>
  <si>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</si>
  <si>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</si>
  <si>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</si>
  <si>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</si>
  <si>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</si>
  <si>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</si>
  <si>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</si>
  <si>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</si>
  <si>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</si>
  <si>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</si>
  <si>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</si>
  <si>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</si>
  <si>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</si>
  <si>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</si>
  <si>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</si>
  <si>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</si>
  <si>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</si>
  <si>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</si>
  <si>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</si>
  <si>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</si>
  <si>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</si>
  <si>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</si>
  <si>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</si>
  <si>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</si>
  <si>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</si>
  <si>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</si>
  <si>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</si>
  <si>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</si>
  <si>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</si>
  <si>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</si>
  <si>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</si>
  <si>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</si>
  <si>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</si>
  <si>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</si>
  <si>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</si>
  <si>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</si>
  <si>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</si>
  <si>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</si>
  <si>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</si>
  <si>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</si>
  <si>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</si>
  <si>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</si>
  <si>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</si>
  <si>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</si>
  <si>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</si>
  <si>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</si>
  <si>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</si>
  <si>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</si>
  <si>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</si>
  <si>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</si>
  <si>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</si>
  <si>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</si>
  <si>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</si>
  <si>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</si>
  <si>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</si>
  <si>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</si>
  <si>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</si>
  <si>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</si>
  <si>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</si>
  <si>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</si>
  <si>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</si>
  <si>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</si>
  <si>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</si>
  <si>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</si>
  <si>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</si>
  <si>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</si>
  <si>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</si>
  <si>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</si>
  <si>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</si>
  <si>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</si>
  <si>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</si>
  <si>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</si>
  <si>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</si>
  <si>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</si>
  <si>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</si>
  <si>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</si>
  <si>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</si>
  <si>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</si>
  <si>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</si>
  <si>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</si>
  <si>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</si>
  <si>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</si>
  <si>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</si>
  <si>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</si>
  <si>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</si>
  <si>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</si>
  <si>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</si>
  <si>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</si>
  <si>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</si>
  <si>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</si>
  <si>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</si>
  <si>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</si>
  <si>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</si>
  <si>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</si>
  <si>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</si>
  <si>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</si>
  <si>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</si>
  <si>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</si>
  <si>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</si>
  <si>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</si>
  <si>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</si>
  <si>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</si>
  <si>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</si>
  <si>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</si>
  <si>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</si>
  <si>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</si>
  <si>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</si>
  <si>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</si>
  <si>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</si>
  <si>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</si>
  <si>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</si>
  <si>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</si>
  <si>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</si>
  <si>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</si>
  <si>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</si>
  <si>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</si>
  <si>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</si>
  <si>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</si>
  <si>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</si>
  <si>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</si>
  <si>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</si>
  <si>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</si>
  <si>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</si>
  <si>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</si>
  <si>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</si>
  <si>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</si>
  <si>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</si>
  <si>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</si>
  <si>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</si>
  <si>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</si>
  <si>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</si>
  <si>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</si>
  <si>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</si>
  <si>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</si>
  <si>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</si>
  <si>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</si>
  <si>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</si>
  <si>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</si>
  <si>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</si>
  <si>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</si>
  <si>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</si>
  <si>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</si>
  <si>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</si>
  <si>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</si>
  <si>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</si>
  <si>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</si>
  <si>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</si>
  <si>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</si>
  <si>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</si>
  <si>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</si>
  <si>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</si>
  <si>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</si>
  <si>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</si>
  <si>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</si>
  <si>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</si>
  <si>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</si>
  <si>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</si>
  <si>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</si>
  <si>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</si>
  <si>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</si>
  <si>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</si>
  <si>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</si>
  <si>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</si>
  <si>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</si>
  <si>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</si>
  <si>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</si>
  <si>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</si>
  <si>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</si>
  <si>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</si>
  <si>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</si>
  <si>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</si>
  <si>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</si>
  <si>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</si>
  <si>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</si>
  <si>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</si>
  <si>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</si>
  <si>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</si>
  <si>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</si>
  <si>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</si>
  <si>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</si>
  <si>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</si>
  <si>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</si>
  <si>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</si>
  <si>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</si>
  <si>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</si>
  <si>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</si>
  <si>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</si>
  <si>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</si>
  <si>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</si>
  <si>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</si>
  <si>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</si>
  <si>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</si>
  <si>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</si>
  <si>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</si>
  <si>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</si>
  <si>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</si>
  <si>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</si>
  <si>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</si>
  <si>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</si>
  <si>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</si>
  <si>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</si>
  <si>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</si>
  <si>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</si>
  <si>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</si>
  <si>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</si>
  <si>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</si>
  <si>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</si>
  <si>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</si>
  <si>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</si>
  <si>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</si>
  <si>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</si>
  <si>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</si>
  <si>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</si>
  <si>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</si>
  <si>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</si>
  <si>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</si>
  <si>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</si>
  <si>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</si>
  <si>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</si>
  <si>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</si>
  <si>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</si>
  <si>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</si>
  <si>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</si>
  <si>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</si>
  <si>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</si>
  <si>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</si>
  <si>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</si>
  <si>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</si>
  <si>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</si>
  <si>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</si>
  <si>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</si>
  <si>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</si>
  <si>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</si>
  <si>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</si>
  <si>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</si>
  <si>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</si>
  <si>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</si>
  <si>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</si>
  <si>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</si>
  <si>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</si>
  <si>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</si>
  <si>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</si>
  <si>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</si>
  <si>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</si>
  <si>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</si>
  <si>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</si>
  <si>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</si>
  <si>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</si>
  <si>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</si>
  <si>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</si>
  <si>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</si>
  <si>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</si>
  <si>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</si>
  <si>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</si>
  <si>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</si>
  <si>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</si>
  <si>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</si>
  <si>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</si>
  <si>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</si>
  <si>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</si>
  <si>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</si>
  <si>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</si>
  <si>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</si>
  <si>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</si>
  <si>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</si>
  <si>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</si>
  <si>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</si>
  <si>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</si>
  <si>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</si>
  <si>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</si>
  <si>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</si>
  <si>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</si>
  <si>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</si>
  <si>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</si>
  <si>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</si>
  <si>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</si>
  <si>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</si>
  <si>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</si>
  <si>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</si>
  <si>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</si>
  <si>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</si>
  <si>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</si>
  <si>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</si>
  <si>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</si>
  <si>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</si>
  <si>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</si>
  <si>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</si>
  <si>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</si>
  <si>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</si>
  <si>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</si>
  <si>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</si>
  <si>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</si>
  <si>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</si>
  <si>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</si>
  <si>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</si>
  <si>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</si>
  <si>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</si>
  <si>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</si>
  <si>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</si>
  <si>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</si>
  <si>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</si>
  <si>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</si>
  <si>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</si>
  <si>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</si>
  <si>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</si>
  <si>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</si>
  <si>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</si>
  <si>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</si>
  <si>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</si>
  <si>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</si>
  <si>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</si>
  <si>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</si>
  <si>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</si>
  <si>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</si>
  <si>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</si>
  <si>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</si>
  <si>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</si>
  <si>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</si>
  <si>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</si>
  <si>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</si>
  <si>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</si>
  <si>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</si>
  <si>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</si>
  <si>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</si>
  <si>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</si>
  <si>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</si>
  <si>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</si>
  <si>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</si>
  <si>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</si>
  <si>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</si>
  <si>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</si>
  <si>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</si>
  <si>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</si>
  <si>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</si>
  <si>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</si>
  <si>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</si>
  <si>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</si>
  <si>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</si>
  <si>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</si>
  <si>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</si>
  <si>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</si>
  <si>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</si>
  <si>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</si>
  <si>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</si>
  <si>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</si>
  <si>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</si>
  <si>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</si>
  <si>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</si>
  <si>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</si>
  <si>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</si>
  <si>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</si>
  <si>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</si>
  <si>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</si>
  <si>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</si>
  <si>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</si>
  <si>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</si>
  <si>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</si>
  <si>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</si>
  <si>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</si>
  <si>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</si>
  <si>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</si>
  <si>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</si>
  <si>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</si>
  <si>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</si>
  <si>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</si>
  <si>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</si>
  <si>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</si>
  <si>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</si>
  <si>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</si>
  <si>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</si>
  <si>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</si>
  <si>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</si>
  <si>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</si>
  <si>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</si>
  <si>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</si>
  <si>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</si>
  <si>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</si>
  <si>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</si>
  <si>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</si>
  <si>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</si>
  <si>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</si>
  <si>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</si>
  <si>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</si>
  <si>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</si>
  <si>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</si>
  <si>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</si>
  <si>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</si>
  <si>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</si>
  <si>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</si>
  <si>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</si>
  <si>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</si>
  <si>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</si>
  <si>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</si>
  <si>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</si>
  <si>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</si>
  <si>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</si>
  <si>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</si>
  <si>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</si>
  <si>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</si>
  <si>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</si>
  <si>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</si>
  <si>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</si>
  <si>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</si>
  <si>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</si>
  <si>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</si>
  <si>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</si>
  <si>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</si>
  <si>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</si>
  <si>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</si>
  <si>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</si>
  <si>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</si>
  <si>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</si>
  <si>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</si>
  <si>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</si>
  <si>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</si>
  <si>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</si>
  <si>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</si>
  <si>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</si>
  <si>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</si>
  <si>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</si>
  <si>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</si>
  <si>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</si>
  <si>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</si>
  <si>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</si>
  <si>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</si>
  <si>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</si>
  <si>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</si>
  <si>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</si>
  <si>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</si>
  <si>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</si>
  <si>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</si>
  <si>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</si>
  <si>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</si>
  <si>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</si>
  <si>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</si>
  <si>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</si>
  <si>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</si>
  <si>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</si>
  <si>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</si>
  <si>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</si>
  <si>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</si>
  <si>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</si>
  <si>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</si>
  <si>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</si>
  <si>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</si>
  <si>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</si>
  <si>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</si>
  <si>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</si>
  <si>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</si>
  <si>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</si>
  <si>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</si>
  <si>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</si>
  <si>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</si>
  <si>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</si>
  <si>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</si>
  <si>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</si>
  <si>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</si>
  <si>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</si>
  <si>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</si>
  <si>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</si>
  <si>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</si>
  <si>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</si>
  <si>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</si>
  <si>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</si>
  <si>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</si>
  <si>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</si>
  <si>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</si>
  <si>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</si>
  <si>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</si>
  <si>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</si>
  <si>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</si>
  <si>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</si>
  <si>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</si>
  <si>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</si>
  <si>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</si>
  <si>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</si>
  <si>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</si>
  <si>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</si>
  <si>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</si>
  <si>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</si>
  <si>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</si>
  <si>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</si>
  <si>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</si>
  <si>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</si>
  <si>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</si>
  <si>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</si>
  <si>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</si>
  <si>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</si>
  <si>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</si>
  <si>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</si>
  <si>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</si>
  <si>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</si>
  <si>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</si>
  <si>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</si>
  <si>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</si>
  <si>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</si>
  <si>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</si>
  <si>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</si>
  <si>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</si>
  <si>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</si>
  <si>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</si>
  <si>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</si>
  <si>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</si>
  <si>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</si>
  <si>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</si>
  <si>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</si>
  <si>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</si>
  <si>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</si>
  <si>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</si>
  <si>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</si>
  <si>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</si>
  <si>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</si>
  <si>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</si>
  <si>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</si>
  <si>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</si>
  <si>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</si>
  <si>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</si>
  <si>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</si>
  <si>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</si>
  <si>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</si>
  <si>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</si>
  <si>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</si>
  <si>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</si>
  <si>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</si>
  <si>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</si>
  <si>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</si>
  <si>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</si>
  <si>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</si>
  <si>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</si>
  <si>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</si>
  <si>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</si>
  <si>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</si>
  <si>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</si>
  <si>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</si>
  <si>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</si>
  <si>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</si>
  <si>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</si>
  <si>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</si>
  <si>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</si>
  <si>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</si>
  <si>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</si>
  <si>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</si>
  <si>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</si>
  <si>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</si>
  <si>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</si>
  <si>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</si>
  <si>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</si>
  <si>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</si>
  <si>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</si>
  <si>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</si>
  <si>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</si>
  <si>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</si>
  <si>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</si>
  <si>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</si>
  <si>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</si>
  <si>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</si>
  <si>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</si>
  <si>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</si>
  <si>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</si>
  <si>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</si>
  <si>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</si>
  <si>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</si>
  <si>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</si>
  <si>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</si>
  <si>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</si>
  <si>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</si>
  <si>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</si>
  <si>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</si>
  <si>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</si>
  <si>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</si>
  <si>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</si>
  <si>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</si>
  <si>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</si>
  <si>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</si>
  <si>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</si>
  <si>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</si>
  <si>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</si>
  <si>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</si>
  <si>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</si>
  <si>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</si>
  <si>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</si>
  <si>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</si>
  <si>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</si>
  <si>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</si>
  <si>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</si>
  <si>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</si>
  <si>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</si>
  <si>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</si>
  <si>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</si>
  <si>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</si>
  <si>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</si>
  <si>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</si>
  <si>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</si>
  <si>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</si>
  <si>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</si>
  <si>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</si>
  <si>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</si>
  <si>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</si>
  <si>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</si>
  <si>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</si>
  <si>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</si>
  <si>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</si>
  <si>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</si>
  <si>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</si>
  <si>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</si>
  <si>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</si>
  <si>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</si>
  <si>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</si>
  <si>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</si>
  <si>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</si>
  <si>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</si>
  <si>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</si>
  <si>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</si>
  <si>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</si>
  <si>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</si>
  <si>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</si>
  <si>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</si>
  <si>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</si>
  <si>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</si>
  <si>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</si>
  <si>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</si>
  <si>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</si>
  <si>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</si>
  <si>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</si>
  <si>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</si>
  <si>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</si>
  <si>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</si>
  <si>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</si>
  <si>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</si>
  <si>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</si>
  <si>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</si>
  <si>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</si>
  <si>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</si>
  <si>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</si>
  <si>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</si>
  <si>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</si>
  <si>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</si>
  <si>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</si>
  <si>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</si>
  <si>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</si>
  <si>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</si>
  <si>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</si>
  <si>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</si>
  <si>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</si>
  <si>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</si>
  <si>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</si>
  <si>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</si>
  <si>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</si>
  <si>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</si>
  <si>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</si>
  <si>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</si>
  <si>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</si>
  <si>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</si>
  <si>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</si>
  <si>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</si>
  <si>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</si>
  <si>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</si>
  <si>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</si>
  <si>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</si>
  <si>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</si>
  <si>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</si>
  <si>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</si>
  <si>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</si>
  <si>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</si>
  <si>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</si>
  <si>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</si>
  <si>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</si>
  <si>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</si>
  <si>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</si>
  <si>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</si>
  <si>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</si>
  <si>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</si>
  <si>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</si>
  <si>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</si>
  <si>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</si>
  <si>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</si>
  <si>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</si>
  <si>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</si>
  <si>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</si>
  <si>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</si>
  <si>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</si>
  <si>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</si>
  <si>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</si>
  <si>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</si>
  <si>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</si>
  <si>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</si>
  <si>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</si>
  <si>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</si>
  <si>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</si>
  <si>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</si>
  <si>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</si>
  <si>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</si>
  <si>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</si>
  <si>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</si>
  <si>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</si>
  <si>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</si>
  <si>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</si>
  <si>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</si>
  <si>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</si>
  <si>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</si>
  <si>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</si>
  <si>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</si>
  <si>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</si>
  <si>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</si>
  <si>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</si>
  <si>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</si>
  <si>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</si>
  <si>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</si>
  <si>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</si>
  <si>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</si>
  <si>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</si>
  <si>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</si>
  <si>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</si>
  <si>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</si>
  <si>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</si>
  <si>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</si>
  <si>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</si>
  <si>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</si>
  <si>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</si>
  <si>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</si>
  <si>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</si>
  <si>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</si>
  <si>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</si>
  <si>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</si>
  <si>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</si>
  <si>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</si>
  <si>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</si>
  <si>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</si>
  <si>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</si>
  <si>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</si>
  <si>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</si>
  <si>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</si>
  <si>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</si>
  <si>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</si>
  <si>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</si>
  <si>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</si>
  <si>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</si>
  <si>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</si>
  <si>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</si>
  <si>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</si>
  <si>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</si>
  <si>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</si>
  <si>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</si>
  <si>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</si>
  <si>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</si>
  <si>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</si>
  <si>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</si>
  <si>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</si>
  <si>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</si>
  <si>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</si>
  <si>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</si>
  <si>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</si>
  <si>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</si>
  <si>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</si>
  <si>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</si>
  <si>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</si>
  <si>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</si>
  <si>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</si>
  <si>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</si>
  <si>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</si>
  <si>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</si>
  <si>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</si>
  <si>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</si>
  <si>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</si>
  <si>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</si>
  <si>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</si>
  <si>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</si>
  <si>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</si>
  <si>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</si>
  <si>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</si>
  <si>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</si>
  <si>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</si>
  <si>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</si>
  <si>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</si>
  <si>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</si>
  <si>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</si>
  <si>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</si>
  <si>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</si>
  <si>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</si>
  <si>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商业24.97年</t>
    <phoneticPr fontId="6" type="noConversion"/>
  </si>
  <si>
    <t>67号商业</t>
    <phoneticPr fontId="143" type="noConversion"/>
  </si>
  <si>
    <t>71号办公</t>
    <phoneticPr fontId="143" type="noConversion"/>
  </si>
  <si>
    <t>71号商业</t>
    <phoneticPr fontId="143" type="noConversion"/>
  </si>
  <si>
    <t>71号仓储</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</si>
</sst>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8" fontId="122" fillId="0" borderId="0">
      <alignment vertical="center"/>
    </xf>
    <xf numFmtId="176" fontId="137" fillId="0" borderId="0" applyFont="0" applyFill="0" applyBorder="0" applyAlignment="0" applyProtection="0">
      <alignment vertical="center"/>
    </xf>
    <xf numFmtId="198" fontId="37" fillId="0" borderId="0"/>
    <xf numFmtId="176" fontId="170" fillId="0" borderId="0" applyFont="0" applyFill="0" applyBorder="0" applyAlignment="0" applyProtection="0">
      <alignment vertical="center"/>
    </xf>
  </cellStyleXfs>
  <cellXfs count="33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7"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xf>
    <xf numFmtId="177" fontId="143" fillId="0" borderId="1" xfId="18" applyNumberFormat="1" applyFont="1" applyFill="1" applyBorder="1" applyAlignment="1">
      <alignment horizontal="center" vertical="center" wrapText="1"/>
    </xf>
    <xf numFmtId="198" fontId="255" fillId="0" borderId="1" xfId="17" applyNumberFormat="1" applyFont="1" applyFill="1" applyBorder="1" applyAlignment="1">
      <alignment horizontal="center" vertical="center"/>
    </xf>
    <xf numFmtId="177" fontId="143" fillId="0" borderId="1" xfId="18" applyNumberFormat="1" applyFont="1" applyFill="1" applyBorder="1" applyAlignment="1">
      <alignment horizontal="center" vertical="center"/>
    </xf>
    <xf numFmtId="0" fontId="99" fillId="0" borderId="0" xfId="2" applyFont="1" applyFill="1"/>
    <xf numFmtId="177" fontId="99" fillId="0" borderId="0" xfId="2" applyNumberFormat="1" applyFont="1"/>
    <xf numFmtId="49" fontId="255" fillId="0" borderId="1" xfId="17" applyNumberFormat="1" applyFont="1" applyBorder="1" applyAlignment="1">
      <alignment horizontal="center" vertical="center"/>
    </xf>
    <xf numFmtId="187"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7" fontId="254" fillId="0" borderId="1" xfId="17" applyNumberFormat="1" applyFont="1" applyFill="1" applyBorder="1" applyAlignment="1">
      <alignment horizontal="center" vertical="center" wrapText="1"/>
    </xf>
    <xf numFmtId="177"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8" fontId="80" fillId="0" borderId="1" xfId="1" applyNumberFormat="1" applyFont="1" applyFill="1" applyBorder="1" applyAlignment="1" applyProtection="1">
      <alignment vertical="center"/>
      <protection locked="0" hidden="1"/>
    </xf>
    <xf numFmtId="182"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80"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80" fontId="0" fillId="0" borderId="0" xfId="0" applyNumberFormat="1" applyAlignment="1">
      <alignment horizontal="center" vertical="center"/>
    </xf>
    <xf numFmtId="177" fontId="143" fillId="0" borderId="1" xfId="18" applyNumberFormat="1" applyFont="1" applyFill="1" applyBorder="1" applyAlignment="1" applyProtection="1">
      <alignment horizontal="center" vertical="center" wrapText="1"/>
      <protection locked="0"/>
    </xf>
    <xf numFmtId="177"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80"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7" fontId="37" fillId="0" borderId="1" xfId="12" applyNumberFormat="1" applyFont="1" applyFill="1" applyBorder="1" applyAlignment="1">
      <alignment horizontal="center" wrapText="1"/>
    </xf>
    <xf numFmtId="180" fontId="37" fillId="0" borderId="1" xfId="12" applyNumberFormat="1" applyFont="1" applyFill="1" applyBorder="1" applyAlignment="1">
      <alignment horizontal="center"/>
    </xf>
    <xf numFmtId="176" fontId="190" fillId="0" borderId="1" xfId="20" applyFont="1" applyFill="1" applyBorder="1" applyAlignment="1" applyProtection="1">
      <alignment horizontal="center" shrinkToFit="1"/>
    </xf>
    <xf numFmtId="176" fontId="37" fillId="0" borderId="1" xfId="20" applyFont="1" applyFill="1" applyBorder="1" applyAlignment="1">
      <alignment horizontal="center" wrapText="1"/>
    </xf>
    <xf numFmtId="180" fontId="170" fillId="0" borderId="0" xfId="12" applyNumberFormat="1"/>
    <xf numFmtId="176" fontId="170" fillId="0" borderId="0" xfId="12" applyNumberFormat="1"/>
    <xf numFmtId="176"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181"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5" fontId="258" fillId="0" borderId="32" xfId="0" applyNumberFormat="1" applyFont="1" applyFill="1" applyBorder="1" applyAlignment="1" applyProtection="1">
      <alignment horizontal="center" vertical="center"/>
      <protection locked="0"/>
    </xf>
    <xf numFmtId="180" fontId="82" fillId="6" borderId="32" xfId="1" applyNumberFormat="1" applyFont="1" applyFill="1" applyBorder="1" applyAlignment="1" applyProtection="1">
      <alignment horizontal="center" vertical="center"/>
    </xf>
    <xf numFmtId="181" fontId="82"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182"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8" fontId="259" fillId="17" borderId="1" xfId="19" applyNumberFormat="1" applyFont="1" applyFill="1" applyBorder="1" applyAlignment="1">
      <alignment horizontal="center" vertical="center"/>
    </xf>
    <xf numFmtId="177" fontId="259" fillId="0" borderId="1" xfId="18" applyNumberFormat="1" applyFont="1" applyFill="1" applyBorder="1" applyAlignment="1">
      <alignment horizontal="center" vertical="center" wrapText="1"/>
    </xf>
    <xf numFmtId="176" fontId="190" fillId="5" borderId="1" xfId="20" applyFont="1" applyFill="1" applyBorder="1" applyAlignment="1" applyProtection="1">
      <alignment horizontal="center" shrinkToFit="1"/>
    </xf>
    <xf numFmtId="0" fontId="170" fillId="5" borderId="0" xfId="12" applyFill="1"/>
    <xf numFmtId="180" fontId="170" fillId="5" borderId="0" xfId="12" applyNumberFormat="1" applyFill="1"/>
    <xf numFmtId="49" fontId="37" fillId="5" borderId="1" xfId="12" applyNumberFormat="1" applyFont="1" applyFill="1" applyBorder="1" applyAlignment="1">
      <alignment horizontal="center"/>
    </xf>
    <xf numFmtId="176" fontId="37" fillId="5" borderId="1" xfId="20" applyFont="1" applyFill="1" applyBorder="1" applyAlignment="1">
      <alignment horizontal="center" wrapText="1"/>
    </xf>
    <xf numFmtId="176"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182" fontId="47" fillId="18" borderId="1" xfId="0" applyNumberFormat="1" applyFont="1" applyFill="1" applyBorder="1" applyAlignment="1" applyProtection="1">
      <alignment vertical="center"/>
      <protection locked="0"/>
    </xf>
    <xf numFmtId="0" fontId="54" fillId="0" borderId="6" xfId="0" applyFont="1" applyFill="1" applyBorder="1" applyAlignment="1" applyProtection="1">
      <alignment horizontal="center" vertical="center" wrapText="1"/>
      <protection locked="0"/>
    </xf>
    <xf numFmtId="182" fontId="55" fillId="18" borderId="24" xfId="0" applyNumberFormat="1"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0" fillId="18" borderId="16" xfId="0" applyNumberFormat="1" applyFont="1" applyFill="1" applyBorder="1" applyAlignment="1" applyProtection="1">
      <alignment horizontal="center" vertical="center" wrapText="1"/>
    </xf>
    <xf numFmtId="0" fontId="56" fillId="18" borderId="32" xfId="0" applyNumberFormat="1" applyFont="1" applyFill="1" applyBorder="1" applyAlignment="1" applyProtection="1">
      <alignment horizontal="center" vertical="center" wrapText="1"/>
      <protection locked="0"/>
    </xf>
    <xf numFmtId="0" fontId="99" fillId="6" borderId="1" xfId="12" applyFont="1" applyFill="1" applyBorder="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8" fontId="219" fillId="0" borderId="1" xfId="17" applyNumberFormat="1" applyFont="1" applyBorder="1" applyAlignment="1">
      <alignment horizontal="center" vertical="center"/>
    </xf>
    <xf numFmtId="198" fontId="124" fillId="0" borderId="1" xfId="17" applyNumberFormat="1" applyFont="1" applyBorder="1" applyAlignment="1">
      <alignment horizontal="center" vertical="center"/>
    </xf>
    <xf numFmtId="180" fontId="254" fillId="0" borderId="1" xfId="17" applyNumberFormat="1" applyFont="1" applyBorder="1" applyAlignment="1">
      <alignment horizontal="center" vertical="center"/>
    </xf>
    <xf numFmtId="187" fontId="255" fillId="0" borderId="13" xfId="17" applyNumberFormat="1" applyFont="1" applyBorder="1" applyAlignment="1">
      <alignment horizontal="center" vertical="center" wrapText="1"/>
    </xf>
    <xf numFmtId="187" fontId="255" fillId="0" borderId="2" xfId="17" applyNumberFormat="1" applyFont="1" applyBorder="1" applyAlignment="1">
      <alignment horizontal="center" vertical="center" wrapText="1"/>
    </xf>
    <xf numFmtId="187" fontId="255" fillId="0" borderId="13" xfId="17" applyNumberFormat="1" applyFont="1" applyBorder="1" applyAlignment="1">
      <alignment horizontal="center" vertical="center"/>
    </xf>
    <xf numFmtId="187"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6397;&#38451;&#36335;71&#21495;-&#37101;&#38745;-06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215.73999999999998</v>
          </cell>
          <cell r="D14">
            <v>831</v>
          </cell>
        </row>
        <row r="15">
          <cell r="B15">
            <v>3052.4</v>
          </cell>
          <cell r="D15">
            <v>5286</v>
          </cell>
        </row>
        <row r="16">
          <cell r="B16">
            <v>323.76000000000005</v>
          </cell>
          <cell r="D16">
            <v>255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8416</v>
      </c>
    </row>
    <row r="21" spans="1:2" s="1589" customFormat="1">
      <c r="A21" s="1587" t="s">
        <v>1231</v>
      </c>
      <c r="B21" s="1588">
        <f ca="1">'预评函-2'!D7</f>
        <v>27186</v>
      </c>
    </row>
    <row r="22" spans="1:2" s="1589" customFormat="1">
      <c r="A22" s="1587" t="s">
        <v>1232</v>
      </c>
      <c r="B22" s="1588" t="str">
        <f ca="1">'预评函-2'!D6</f>
        <v>捌仟肆佰壹拾陆万元整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8416</v>
      </c>
    </row>
    <row r="31" spans="1:2" s="1589" customFormat="1">
      <c r="A31" s="1587" t="s">
        <v>1270</v>
      </c>
      <c r="B31" s="1588">
        <f ca="1">'预评函-2'!D15</f>
        <v>27186</v>
      </c>
    </row>
    <row r="32" spans="1:2" s="1589" customFormat="1">
      <c r="A32" s="1587" t="s">
        <v>1237</v>
      </c>
      <c r="B32" s="1588" t="str">
        <f ca="1">'预评函-2'!D14</f>
        <v>捌仟肆佰壹拾陆万元整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6413</v>
      </c>
    </row>
    <row r="48" spans="1:2" s="1589" customFormat="1">
      <c r="A48" s="1587" t="s">
        <v>1243</v>
      </c>
      <c r="B48" s="1588">
        <f ca="1">'预评函-3'!E4</f>
        <v>20716</v>
      </c>
    </row>
    <row r="49" spans="1:2" s="1589" customFormat="1">
      <c r="A49" s="1587" t="s">
        <v>1244</v>
      </c>
      <c r="B49" s="1588" t="str">
        <f ca="1">'预评函-3'!D5</f>
        <v>陆仟肆佰壹拾叁万元整</v>
      </c>
    </row>
    <row r="50" spans="1:2" s="1589" customFormat="1">
      <c r="A50" s="1587" t="s">
        <v>1268</v>
      </c>
      <c r="B50" s="1588" t="str">
        <f>'预评函-3'!F2</f>
        <v>在建建筑物价值</v>
      </c>
    </row>
    <row r="51" spans="1:2" s="1589" customFormat="1">
      <c r="A51" s="1587" t="s">
        <v>1245</v>
      </c>
      <c r="B51" s="1588">
        <f ca="1">'预评函-3'!F4</f>
        <v>2003</v>
      </c>
    </row>
    <row r="52" spans="1:2" s="1589" customFormat="1">
      <c r="A52" s="1587" t="s">
        <v>1246</v>
      </c>
      <c r="B52" s="1588">
        <f ca="1">'预评函-3'!G4</f>
        <v>6470</v>
      </c>
    </row>
    <row r="53" spans="1:2" s="1589" customFormat="1">
      <c r="A53" s="1587" t="s">
        <v>1274</v>
      </c>
      <c r="B53" s="1588" t="str">
        <f ca="1">'预评函-3'!F5</f>
        <v>贰仟零叁万元整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759</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1141</v>
      </c>
      <c r="R1" s="2005" t="s">
        <v>1135</v>
      </c>
      <c r="S1" s="2005" t="s">
        <v>1695</v>
      </c>
      <c r="T1" s="2007" t="s">
        <v>1696</v>
      </c>
      <c r="U1" s="2005" t="s">
        <v>1697</v>
      </c>
      <c r="V1" s="2005" t="s">
        <v>1698</v>
      </c>
      <c r="W1" s="2005" t="s">
        <v>755</v>
      </c>
    </row>
    <row r="2" spans="1:23">
      <c r="A2" s="2009" t="s">
        <v>22</v>
      </c>
      <c r="B2" s="2009" t="s">
        <v>1699</v>
      </c>
      <c r="C2" s="2010" t="s">
        <v>760</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1137</v>
      </c>
      <c r="S2" s="2011" t="s">
        <v>1705</v>
      </c>
      <c r="T2" s="2011" t="s">
        <v>1706</v>
      </c>
      <c r="U2" s="2011" t="s">
        <v>1705</v>
      </c>
      <c r="V2" s="2011" t="s">
        <v>1707</v>
      </c>
      <c r="W2" s="2011" t="s">
        <v>1705</v>
      </c>
    </row>
    <row r="3" spans="1:23">
      <c r="A3" s="2009" t="s">
        <v>1708</v>
      </c>
      <c r="B3" s="2012" t="s">
        <v>1142</v>
      </c>
      <c r="C3" s="2013" t="s">
        <v>761</v>
      </c>
      <c r="D3" s="2011" t="s">
        <v>1709</v>
      </c>
      <c r="E3" s="2011" t="s">
        <v>16</v>
      </c>
      <c r="F3" s="2011" t="s">
        <v>1710</v>
      </c>
      <c r="G3" s="2011">
        <v>50</v>
      </c>
      <c r="H3" s="2011" t="s">
        <v>1710</v>
      </c>
      <c r="I3" s="2011" t="s">
        <v>1711</v>
      </c>
      <c r="J3" s="2011" t="s">
        <v>1712</v>
      </c>
      <c r="K3" s="2011" t="s">
        <v>1713</v>
      </c>
      <c r="L3" s="2011" t="s">
        <v>1713</v>
      </c>
      <c r="M3" s="2011" t="s">
        <v>1713</v>
      </c>
      <c r="N3" s="2011" t="s">
        <v>1713</v>
      </c>
      <c r="O3" s="2011" t="s">
        <v>1713</v>
      </c>
      <c r="P3" s="2011" t="s">
        <v>1713</v>
      </c>
      <c r="Q3" s="2011" t="s">
        <v>1713</v>
      </c>
      <c r="R3" s="2011" t="s">
        <v>1136</v>
      </c>
      <c r="S3" s="2011" t="s">
        <v>1713</v>
      </c>
      <c r="T3" s="2011" t="s">
        <v>1714</v>
      </c>
      <c r="U3" s="2011" t="s">
        <v>1713</v>
      </c>
      <c r="V3" s="2011" t="s">
        <v>1715</v>
      </c>
      <c r="W3" s="2011" t="s">
        <v>1713</v>
      </c>
    </row>
    <row r="4" spans="1:23">
      <c r="A4" s="2009" t="s">
        <v>1716</v>
      </c>
      <c r="B4" s="2009" t="s">
        <v>1717</v>
      </c>
      <c r="C4" s="2010" t="s">
        <v>762</v>
      </c>
      <c r="D4" s="2011" t="s">
        <v>865</v>
      </c>
      <c r="E4" s="2011" t="s">
        <v>1718</v>
      </c>
      <c r="F4" s="2011" t="s">
        <v>1719</v>
      </c>
      <c r="G4" s="2011">
        <v>70</v>
      </c>
      <c r="H4" s="2011" t="s">
        <v>1719</v>
      </c>
      <c r="I4" s="2011" t="s">
        <v>1720</v>
      </c>
      <c r="K4" s="2011" t="s">
        <v>1721</v>
      </c>
      <c r="L4" s="2011" t="s">
        <v>1721</v>
      </c>
      <c r="M4" s="2011" t="s">
        <v>1721</v>
      </c>
      <c r="N4" s="2011" t="s">
        <v>1721</v>
      </c>
      <c r="O4" s="2011" t="s">
        <v>1721</v>
      </c>
      <c r="P4" s="2011" t="s">
        <v>1721</v>
      </c>
      <c r="Q4" s="2011" t="s">
        <v>1721</v>
      </c>
      <c r="R4" s="2011" t="s">
        <v>1138</v>
      </c>
      <c r="S4" s="2011" t="s">
        <v>1721</v>
      </c>
      <c r="T4" s="2011" t="s">
        <v>1722</v>
      </c>
      <c r="U4" s="2011" t="s">
        <v>1721</v>
      </c>
      <c r="W4" s="2011" t="s">
        <v>1721</v>
      </c>
    </row>
    <row r="5" spans="1:23">
      <c r="A5" s="2009" t="s">
        <v>1723</v>
      </c>
      <c r="B5" s="2009" t="s">
        <v>1724</v>
      </c>
      <c r="C5" s="2010" t="s">
        <v>763</v>
      </c>
      <c r="F5" s="2011" t="s">
        <v>1725</v>
      </c>
      <c r="H5" s="2011" t="s">
        <v>1726</v>
      </c>
      <c r="I5" s="2011" t="s">
        <v>1727</v>
      </c>
      <c r="K5" s="2011" t="s">
        <v>1728</v>
      </c>
      <c r="L5" s="2011" t="s">
        <v>1728</v>
      </c>
      <c r="M5" s="2011" t="s">
        <v>1728</v>
      </c>
      <c r="N5" s="2011" t="s">
        <v>1728</v>
      </c>
      <c r="O5" s="2011" t="s">
        <v>1728</v>
      </c>
      <c r="P5" s="2011" t="s">
        <v>1728</v>
      </c>
      <c r="Q5" s="2011" t="s">
        <v>1728</v>
      </c>
      <c r="R5" s="2011" t="s">
        <v>1139</v>
      </c>
      <c r="S5" s="2011" t="s">
        <v>1728</v>
      </c>
      <c r="T5" s="2011" t="s">
        <v>1729</v>
      </c>
      <c r="U5" s="2011" t="s">
        <v>1728</v>
      </c>
      <c r="W5" s="2011" t="s">
        <v>1728</v>
      </c>
    </row>
    <row r="6" spans="1:23">
      <c r="A6" s="2009" t="s">
        <v>1730</v>
      </c>
      <c r="B6" s="2012" t="s">
        <v>1143</v>
      </c>
      <c r="C6" s="2015" t="s">
        <v>30</v>
      </c>
      <c r="F6" s="2011" t="s">
        <v>1726</v>
      </c>
      <c r="H6" s="2011" t="s">
        <v>1731</v>
      </c>
      <c r="I6" s="2011" t="s">
        <v>1732</v>
      </c>
      <c r="K6" s="2011" t="s">
        <v>1733</v>
      </c>
      <c r="L6" s="2011" t="s">
        <v>1733</v>
      </c>
      <c r="M6" s="2011" t="s">
        <v>1733</v>
      </c>
      <c r="N6" s="2011" t="s">
        <v>1733</v>
      </c>
      <c r="O6" s="2011" t="s">
        <v>1733</v>
      </c>
      <c r="P6" s="2011" t="s">
        <v>1733</v>
      </c>
      <c r="Q6" s="2011" t="s">
        <v>1733</v>
      </c>
      <c r="R6" s="2011" t="s">
        <v>1140</v>
      </c>
      <c r="S6" s="2011" t="s">
        <v>1733</v>
      </c>
      <c r="T6" s="2011"/>
      <c r="U6" s="2011" t="s">
        <v>1733</v>
      </c>
      <c r="W6" s="2011" t="s">
        <v>1733</v>
      </c>
    </row>
    <row r="7" spans="1:23">
      <c r="A7" s="2009" t="s">
        <v>1734</v>
      </c>
      <c r="B7" s="2012" t="s">
        <v>1144</v>
      </c>
      <c r="C7" s="2010" t="s">
        <v>31</v>
      </c>
      <c r="F7" s="2011" t="s">
        <v>1735</v>
      </c>
      <c r="H7" s="2011" t="s">
        <v>1736</v>
      </c>
      <c r="I7" s="2011" t="s">
        <v>1737</v>
      </c>
    </row>
    <row r="8" spans="1:23">
      <c r="A8" s="2009" t="s">
        <v>1738</v>
      </c>
      <c r="B8" s="2009" t="s">
        <v>1739</v>
      </c>
      <c r="C8" s="2010" t="s">
        <v>764</v>
      </c>
      <c r="F8" s="2011" t="s">
        <v>1740</v>
      </c>
      <c r="H8" s="2011"/>
      <c r="I8" s="2011" t="s">
        <v>1741</v>
      </c>
    </row>
    <row r="9" spans="1:23">
      <c r="A9" s="2009" t="s">
        <v>1742</v>
      </c>
      <c r="B9" s="2009" t="s">
        <v>1743</v>
      </c>
      <c r="C9" s="2010" t="s">
        <v>765</v>
      </c>
      <c r="F9" s="2011" t="s">
        <v>1744</v>
      </c>
      <c r="H9" s="2011"/>
    </row>
    <row r="10" spans="1:23">
      <c r="A10" s="2009" t="s">
        <v>1745</v>
      </c>
      <c r="B10" s="2009" t="s">
        <v>1746</v>
      </c>
      <c r="C10" s="2010" t="s">
        <v>766</v>
      </c>
      <c r="F10" s="2011" t="s">
        <v>16</v>
      </c>
    </row>
    <row r="11" spans="1:23">
      <c r="A11" s="2009" t="s">
        <v>1747</v>
      </c>
      <c r="B11" s="2009" t="s">
        <v>1748</v>
      </c>
      <c r="C11" s="2010" t="s">
        <v>767</v>
      </c>
    </row>
    <row r="12" spans="1:23">
      <c r="A12" s="2009" t="s">
        <v>1749</v>
      </c>
      <c r="B12" s="2009" t="s">
        <v>1750</v>
      </c>
      <c r="C12" s="2010" t="s">
        <v>768</v>
      </c>
    </row>
    <row r="13" spans="1:23">
      <c r="A13" s="2009" t="s">
        <v>1751</v>
      </c>
      <c r="B13" s="2009" t="s">
        <v>1752</v>
      </c>
      <c r="C13" s="2010" t="s">
        <v>769</v>
      </c>
    </row>
    <row r="14" spans="1:23">
      <c r="A14" s="2009" t="s">
        <v>1753</v>
      </c>
      <c r="B14" s="2009" t="s">
        <v>1754</v>
      </c>
      <c r="C14" s="2011" t="s">
        <v>16</v>
      </c>
    </row>
    <row r="15" spans="1:23">
      <c r="A15" s="2009" t="s">
        <v>1755</v>
      </c>
      <c r="B15" s="2009" t="s">
        <v>1756</v>
      </c>
      <c r="C15" s="2010"/>
    </row>
    <row r="16" spans="1:23">
      <c r="A16" s="2009" t="s">
        <v>1757</v>
      </c>
      <c r="B16" s="2009" t="s">
        <v>756</v>
      </c>
      <c r="C16" s="2010"/>
    </row>
    <row r="17" spans="1:3">
      <c r="A17" s="2009" t="s">
        <v>1758</v>
      </c>
      <c r="B17" s="2009" t="s">
        <v>3223</v>
      </c>
      <c r="C17" s="2010"/>
    </row>
    <row r="18" spans="1:3">
      <c r="A18" s="2009" t="s">
        <v>1759</v>
      </c>
      <c r="B18" s="2009" t="s">
        <v>757</v>
      </c>
      <c r="C18" s="2010"/>
    </row>
    <row r="19" spans="1:3">
      <c r="A19" s="2009" t="s">
        <v>1760</v>
      </c>
      <c r="B19" s="2009" t="s">
        <v>3208</v>
      </c>
      <c r="C19" s="2010"/>
    </row>
    <row r="20" spans="1:3">
      <c r="A20" s="2009" t="s">
        <v>1761</v>
      </c>
      <c r="B20" s="2009" t="s">
        <v>757</v>
      </c>
      <c r="C20" s="2010"/>
    </row>
    <row r="21" spans="1:3">
      <c r="A21" s="2009" t="s">
        <v>1762</v>
      </c>
      <c r="B21" s="2009" t="s">
        <v>757</v>
      </c>
      <c r="C21" s="2010"/>
    </row>
    <row r="22" spans="1:3">
      <c r="A22" s="2009" t="s">
        <v>1763</v>
      </c>
      <c r="B22" s="2009" t="s">
        <v>757</v>
      </c>
      <c r="C22" s="2010"/>
    </row>
    <row r="23" spans="1:3">
      <c r="A23" s="2009" t="s">
        <v>1764</v>
      </c>
      <c r="B23" s="2009" t="s">
        <v>757</v>
      </c>
      <c r="C23" s="2010"/>
    </row>
    <row r="24" spans="1:3">
      <c r="A24" s="2009" t="s">
        <v>1765</v>
      </c>
      <c r="B24" s="2009" t="s">
        <v>757</v>
      </c>
      <c r="C24" s="2010"/>
    </row>
    <row r="25" spans="1:3">
      <c r="A25" s="2009" t="s">
        <v>1766</v>
      </c>
      <c r="B25" s="2009" t="s">
        <v>757</v>
      </c>
      <c r="C25" s="2010"/>
    </row>
    <row r="26" spans="1:3">
      <c r="A26" s="2009" t="s">
        <v>1767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80"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80"/>
      <c r="B54" s="2017" t="s">
        <v>861</v>
      </c>
      <c r="C54" s="2014" t="s">
        <v>1277</v>
      </c>
    </row>
    <row r="55" spans="1:4">
      <c r="A55" s="3080"/>
      <c r="B55" s="2017" t="s">
        <v>862</v>
      </c>
      <c r="C55" s="2014" t="s">
        <v>1278</v>
      </c>
    </row>
    <row r="56" spans="1:4">
      <c r="A56" s="3080"/>
      <c r="B56" s="2017" t="s">
        <v>863</v>
      </c>
      <c r="C56" s="2014" t="s">
        <v>1282</v>
      </c>
    </row>
    <row r="57" spans="1:4">
      <c r="A57" s="3080"/>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0" customWidth="1"/>
    <col min="10" max="10" width="10" style="2027" customWidth="1"/>
    <col min="11" max="11" width="10" style="2151" customWidth="1"/>
    <col min="12" max="13" width="10" style="2152" customWidth="1"/>
    <col min="14" max="14" width="10" style="2027" customWidth="1"/>
    <col min="15" max="15" width="10" style="2150" customWidth="1"/>
    <col min="16" max="17" width="10" style="2027"/>
    <col min="18" max="18" width="10" style="2027" customWidth="1"/>
    <col min="19" max="16384" width="10" style="2027"/>
  </cols>
  <sheetData>
    <row r="1" spans="1:19" ht="38.25" customHeight="1" thickBot="1">
      <c r="A1" s="2020" t="s">
        <v>1768</v>
      </c>
      <c r="B1" s="3089"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90"/>
      <c r="D1" s="3090"/>
      <c r="E1" s="3090"/>
      <c r="F1" s="3090"/>
      <c r="G1" s="3090"/>
      <c r="H1" s="3090"/>
      <c r="I1" s="309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1" t="s">
        <v>1769</v>
      </c>
      <c r="B2" s="1035" t="s">
        <v>3130</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0" t="s">
        <v>1770</v>
      </c>
      <c r="B3" s="2031">
        <v>43619</v>
      </c>
      <c r="C3" s="2032" t="s">
        <v>1771</v>
      </c>
      <c r="D3" s="2031">
        <v>43619</v>
      </c>
      <c r="E3" s="2021"/>
      <c r="F3" s="2021"/>
      <c r="G3" s="2021"/>
      <c r="H3" s="2021"/>
      <c r="I3" s="2021"/>
      <c r="J3" s="2021"/>
      <c r="K3" s="2022"/>
      <c r="L3" s="2023"/>
      <c r="M3" s="2023"/>
      <c r="N3" s="2024"/>
      <c r="O3" s="2025"/>
      <c r="P3" s="2024"/>
      <c r="Q3" s="2024"/>
      <c r="R3" s="2024"/>
      <c r="S3" s="2026"/>
    </row>
    <row r="4" spans="1:19" ht="18" customHeight="1" thickBot="1">
      <c r="A4" s="2033" t="s">
        <v>1772</v>
      </c>
      <c r="B4" s="2034" t="s">
        <v>3131</v>
      </c>
      <c r="C4" s="1033">
        <f ca="1">SUMIF(注册房地产估价师,B4,估价师及机构信息!B3:B24)</f>
        <v>1120070131</v>
      </c>
      <c r="D4" s="2034" t="s">
        <v>3132</v>
      </c>
      <c r="E4" s="1034">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郑燚（注册号：1120070131)、吴薇（注册号：1419970001)</v>
      </c>
      <c r="L4" s="2023"/>
      <c r="M4" s="2023"/>
      <c r="N4" s="2024"/>
      <c r="O4" s="2025"/>
      <c r="P4" s="2024"/>
      <c r="Q4" s="2024"/>
      <c r="R4" s="2024"/>
      <c r="S4" s="2026"/>
    </row>
    <row r="5" spans="1:19" ht="18" customHeight="1" thickTop="1">
      <c r="A5" s="2039" t="s">
        <v>1773</v>
      </c>
      <c r="B5" s="2967" t="s">
        <v>3133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1774</v>
      </c>
      <c r="B6" s="2968" t="s">
        <v>3257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1775</v>
      </c>
      <c r="B7" s="2967" t="s">
        <v>3133</v>
      </c>
      <c r="C7" s="2043"/>
      <c r="D7" s="2044"/>
      <c r="E7" s="2029"/>
      <c r="F7" s="2037"/>
      <c r="G7" s="2037"/>
      <c r="H7" s="2037"/>
      <c r="I7" s="2037"/>
      <c r="J7" s="2037"/>
      <c r="K7" s="2046"/>
      <c r="L7" s="2023"/>
      <c r="M7" s="2023"/>
      <c r="N7" s="2024"/>
      <c r="O7" s="2025"/>
      <c r="P7" s="2024"/>
      <c r="Q7" s="2024"/>
      <c r="R7" s="2024"/>
    </row>
    <row r="8" spans="1:19" ht="18" customHeight="1">
      <c r="A8" s="2042" t="s">
        <v>1776</v>
      </c>
      <c r="B8" s="2047" t="s">
        <v>3134</v>
      </c>
      <c r="C8" s="2048"/>
      <c r="D8" s="3092" t="s">
        <v>1777</v>
      </c>
      <c r="E8" s="2049" t="s">
        <v>3135</v>
      </c>
      <c r="F8" s="2050"/>
      <c r="G8" s="2021"/>
      <c r="H8" s="2021"/>
      <c r="I8" s="2021"/>
      <c r="J8" s="2037"/>
      <c r="K8" s="2038"/>
      <c r="L8" s="2023"/>
      <c r="M8" s="2023"/>
      <c r="N8" s="2024"/>
      <c r="O8" s="2025"/>
      <c r="P8" s="2024"/>
      <c r="Q8" s="2024"/>
      <c r="R8" s="2024"/>
    </row>
    <row r="9" spans="1:19" ht="18" customHeight="1" thickBot="1">
      <c r="A9" s="2035" t="s">
        <v>1778</v>
      </c>
      <c r="B9" s="2051" t="s">
        <v>3135</v>
      </c>
      <c r="C9" s="2052"/>
      <c r="D9" s="3093"/>
      <c r="E9" s="2051" t="s">
        <v>70</v>
      </c>
      <c r="F9" s="2053"/>
      <c r="G9" s="2054"/>
      <c r="H9" s="2054"/>
      <c r="I9" s="2054"/>
      <c r="J9" s="2037"/>
      <c r="K9" s="2046"/>
      <c r="L9" s="2023"/>
      <c r="M9" s="2023"/>
      <c r="N9" s="2024"/>
      <c r="O9" s="2025"/>
      <c r="P9" s="2024"/>
      <c r="Q9" s="2024"/>
      <c r="R9" s="2024"/>
    </row>
    <row r="10" spans="1:19" ht="18" customHeight="1" thickTop="1" thickBot="1">
      <c r="A10" s="2055" t="s">
        <v>1779</v>
      </c>
      <c r="B10" s="2056" t="s">
        <v>3136</v>
      </c>
      <c r="C10" s="2057"/>
      <c r="D10" s="2041"/>
      <c r="E10" s="2058" t="s">
        <v>1780</v>
      </c>
      <c r="F10" s="2985" t="s">
        <v>3258</v>
      </c>
      <c r="G10" s="2059"/>
      <c r="H10" s="2060"/>
      <c r="I10" s="2041"/>
      <c r="J10" s="2037"/>
      <c r="K10" s="2046"/>
      <c r="L10" s="2023"/>
      <c r="M10" s="2023"/>
      <c r="N10" s="2024"/>
      <c r="O10" s="2025"/>
      <c r="P10" s="2024"/>
      <c r="Q10" s="2024"/>
      <c r="R10" s="2024"/>
    </row>
    <row r="11" spans="1:19" ht="18" customHeight="1" thickTop="1">
      <c r="A11" s="2061" t="s">
        <v>1781</v>
      </c>
      <c r="B11" s="2062" t="s">
        <v>3137</v>
      </c>
      <c r="C11" s="2967" t="s">
        <v>3133</v>
      </c>
      <c r="D11" s="2063"/>
      <c r="E11" s="2037"/>
      <c r="F11" s="2037"/>
      <c r="G11" s="2037"/>
      <c r="H11" s="2037"/>
      <c r="I11" s="2037"/>
      <c r="J11" s="2037"/>
      <c r="K11" s="2046"/>
      <c r="L11" s="2023"/>
      <c r="M11" s="2023"/>
      <c r="N11" s="2024"/>
      <c r="O11" s="2025"/>
      <c r="P11" s="2024"/>
      <c r="Q11" s="2024"/>
      <c r="R11" s="2024"/>
    </row>
    <row r="12" spans="1:19" ht="18" customHeight="1">
      <c r="A12" s="2064" t="s">
        <v>1782</v>
      </c>
      <c r="B12" s="2062" t="s">
        <v>3149</v>
      </c>
      <c r="C12" s="2065" t="s">
        <v>1783</v>
      </c>
      <c r="D12" s="2066" t="s">
        <v>1784</v>
      </c>
      <c r="E12" s="2066" t="s">
        <v>1785</v>
      </c>
      <c r="F12" s="2066" t="s">
        <v>1786</v>
      </c>
      <c r="G12" s="2066" t="s">
        <v>1787</v>
      </c>
      <c r="H12" s="2066" t="s">
        <v>1788</v>
      </c>
      <c r="I12" s="2066" t="s">
        <v>1789</v>
      </c>
      <c r="J12" s="2037"/>
      <c r="K12" s="2046"/>
      <c r="L12" s="2023"/>
      <c r="M12" s="2023"/>
      <c r="N12" s="2024"/>
      <c r="O12" s="2025"/>
      <c r="P12" s="2024"/>
      <c r="Q12" s="2024"/>
      <c r="R12" s="2024"/>
    </row>
    <row r="13" spans="1:19" ht="18" customHeight="1">
      <c r="A13" s="2067"/>
      <c r="B13" s="2068"/>
      <c r="C13" s="2069" t="s">
        <v>1790</v>
      </c>
      <c r="D13" s="2070"/>
      <c r="E13" s="2070">
        <v>52736</v>
      </c>
      <c r="F13" s="2070"/>
      <c r="G13" s="2070"/>
      <c r="H13" s="2070"/>
      <c r="I13" s="1043"/>
      <c r="J13" s="2037"/>
      <c r="K13" s="2046"/>
      <c r="L13" s="2023"/>
      <c r="M13" s="2023"/>
      <c r="N13" s="2024"/>
      <c r="O13" s="2025"/>
      <c r="P13" s="2024"/>
      <c r="Q13" s="2024"/>
      <c r="R13" s="2024"/>
    </row>
    <row r="14" spans="1:19" ht="18" customHeight="1">
      <c r="A14" s="2067"/>
      <c r="B14" s="2068"/>
      <c r="C14" s="2069" t="s">
        <v>1791</v>
      </c>
      <c r="D14" s="1046"/>
      <c r="E14" s="1046">
        <v>40</v>
      </c>
      <c r="F14" s="1046"/>
      <c r="G14" s="1046"/>
      <c r="H14" s="1046"/>
      <c r="I14" s="1046"/>
      <c r="J14" s="2037"/>
      <c r="K14" s="2071"/>
      <c r="L14" s="2023"/>
      <c r="M14" s="2023"/>
      <c r="N14" s="2024"/>
      <c r="O14" s="2025"/>
      <c r="P14" s="2024"/>
      <c r="Q14" s="2024"/>
      <c r="R14" s="2024"/>
    </row>
    <row r="15" spans="1:19" ht="18" customHeight="1">
      <c r="A15" s="2055"/>
      <c r="B15" s="2072"/>
      <c r="C15" s="2069" t="s">
        <v>1792</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3"/>
      <c r="L15" s="2074"/>
      <c r="M15" s="2074"/>
      <c r="N15" s="2075"/>
      <c r="O15" s="2074"/>
      <c r="P15" s="2075"/>
      <c r="Q15" s="2024"/>
      <c r="R15" s="2024"/>
    </row>
    <row r="16" spans="1:19" ht="30.75" customHeight="1">
      <c r="A16" s="2058" t="s">
        <v>1793</v>
      </c>
      <c r="B16" s="3099" t="s">
        <v>3150</v>
      </c>
      <c r="C16" s="3100"/>
      <c r="D16" s="3101"/>
      <c r="E16" s="2076" t="s">
        <v>1794</v>
      </c>
      <c r="F16" s="3102" t="s">
        <v>3294</v>
      </c>
      <c r="G16" s="3103"/>
      <c r="H16" s="3103"/>
      <c r="I16" s="3104"/>
      <c r="J16" s="2024"/>
      <c r="K16" s="2073"/>
      <c r="L16" s="2074"/>
      <c r="M16" s="2074"/>
      <c r="N16" s="2075"/>
      <c r="O16" s="2074"/>
      <c r="P16" s="2075"/>
      <c r="Q16" s="2024"/>
      <c r="R16" s="2024"/>
    </row>
    <row r="17" spans="1:22" ht="18" customHeight="1">
      <c r="A17" s="2077" t="s">
        <v>1795</v>
      </c>
      <c r="B17" s="2030" t="s">
        <v>1796</v>
      </c>
      <c r="C17" s="1050">
        <f>'数据-汇总表'!E3</f>
        <v>3095.6800000000007</v>
      </c>
      <c r="D17" s="2078" t="s">
        <v>1797</v>
      </c>
      <c r="E17" s="3105" t="s">
        <v>3274</v>
      </c>
      <c r="F17" s="3106"/>
      <c r="G17" s="3106"/>
      <c r="H17" s="3106"/>
      <c r="I17" s="3107"/>
      <c r="J17" s="2024"/>
      <c r="K17" s="2079"/>
      <c r="L17" s="2074"/>
      <c r="M17" s="2074"/>
      <c r="N17" s="2075"/>
      <c r="O17" s="2074"/>
      <c r="P17" s="2075"/>
      <c r="Q17" s="2024"/>
      <c r="R17" s="2024"/>
      <c r="S17" s="2024"/>
      <c r="T17" s="2024"/>
      <c r="U17" s="2024"/>
      <c r="V17" s="2024"/>
    </row>
    <row r="18" spans="1:22" ht="36" customHeight="1" thickBot="1">
      <c r="A18" s="2080" t="s">
        <v>70</v>
      </c>
      <c r="B18" s="2033" t="s">
        <v>1798</v>
      </c>
      <c r="C18" s="1440">
        <f>'数据-汇总表'!D3</f>
        <v>0</v>
      </c>
      <c r="D18" s="2081" t="s">
        <v>1797</v>
      </c>
      <c r="E18" s="3108" t="s">
        <v>3275</v>
      </c>
      <c r="F18" s="3109"/>
      <c r="G18" s="3109"/>
      <c r="H18" s="3109"/>
      <c r="I18" s="3110"/>
      <c r="J18" s="2024"/>
      <c r="K18" s="2079"/>
      <c r="L18" s="2074"/>
      <c r="M18" s="2074"/>
      <c r="N18" s="2075"/>
      <c r="O18" s="2074"/>
      <c r="P18" s="2075"/>
      <c r="Q18" s="2024"/>
      <c r="R18" s="2024"/>
      <c r="S18" s="2024"/>
      <c r="T18" s="2024"/>
      <c r="U18" s="2024"/>
      <c r="V18" s="2024"/>
    </row>
    <row r="19" spans="1:22" ht="37.5" customHeight="1" thickTop="1" thickBot="1">
      <c r="A19" s="373" t="s">
        <v>1799</v>
      </c>
      <c r="B19" s="352" t="s">
        <v>1800</v>
      </c>
      <c r="C19" s="2082" t="s">
        <v>3148</v>
      </c>
      <c r="D19" s="2083" t="s">
        <v>1801</v>
      </c>
      <c r="E19" s="2084" t="s">
        <v>70</v>
      </c>
      <c r="F19" s="2085" t="str">
        <f>IF(AND(C19="是",E19="否"),"是否提供他项权证或相关说明","")</f>
        <v/>
      </c>
      <c r="G19" s="2086" t="s">
        <v>70</v>
      </c>
      <c r="H19" s="2037"/>
      <c r="I19" s="2037"/>
      <c r="J19" s="2037"/>
      <c r="K19" s="2046"/>
      <c r="L19" s="2023"/>
      <c r="M19" s="2023"/>
      <c r="N19" s="2075"/>
      <c r="O19" s="2074"/>
      <c r="P19" s="2075"/>
      <c r="Q19" s="2024"/>
      <c r="R19" s="2024"/>
      <c r="S19" s="2024"/>
      <c r="T19" s="2024"/>
      <c r="U19" s="2024"/>
      <c r="V19" s="2024"/>
    </row>
    <row r="20" spans="1:22" ht="18" customHeight="1">
      <c r="A20" s="2087" t="s">
        <v>1802</v>
      </c>
      <c r="B20" s="3095" t="s">
        <v>1803</v>
      </c>
      <c r="C20" s="3096"/>
      <c r="D20" s="3097" t="s">
        <v>1804</v>
      </c>
      <c r="E20" s="3098"/>
      <c r="F20" s="2088" t="s">
        <v>1805</v>
      </c>
      <c r="G20" s="2037"/>
      <c r="H20" s="2037"/>
      <c r="I20" s="2037"/>
      <c r="J20" s="2037"/>
      <c r="K20" s="3094" t="s">
        <v>1806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5"/>
      <c r="O20" s="2074"/>
      <c r="P20" s="2075"/>
      <c r="Q20" s="2024"/>
      <c r="R20" s="2024"/>
      <c r="S20" s="2024"/>
      <c r="T20" s="2024"/>
      <c r="U20" s="2024"/>
      <c r="V20" s="2024"/>
    </row>
    <row r="21" spans="1:22" ht="24.75" customHeight="1">
      <c r="A21" s="2087"/>
      <c r="B21" s="2089" t="s">
        <v>1807</v>
      </c>
      <c r="C21" s="2090" t="s">
        <v>3147</v>
      </c>
      <c r="D21" s="2091" t="s">
        <v>1809</v>
      </c>
      <c r="E21" s="2092" t="s">
        <v>1808</v>
      </c>
      <c r="F21" s="2093"/>
      <c r="G21" s="2037"/>
      <c r="H21" s="2037"/>
      <c r="I21" s="2037"/>
      <c r="J21" s="2037"/>
      <c r="K21" s="309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5"/>
      <c r="O21" s="2074"/>
      <c r="P21" s="2075"/>
      <c r="Q21" s="2024"/>
      <c r="R21" s="2024"/>
      <c r="S21" s="2024"/>
      <c r="T21" s="2024"/>
      <c r="U21" s="2024"/>
      <c r="V21" s="2024"/>
    </row>
    <row r="22" spans="1:22" ht="24.75" customHeight="1" thickBot="1">
      <c r="A22" s="2087"/>
      <c r="B22" s="2094" t="s">
        <v>1810</v>
      </c>
      <c r="C22" s="2090" t="s">
        <v>1811</v>
      </c>
      <c r="D22" s="2021"/>
      <c r="E22" s="2021"/>
      <c r="F22" s="2095"/>
      <c r="G22" s="2037"/>
      <c r="H22" s="2037"/>
      <c r="I22" s="2037"/>
      <c r="J22" s="2037"/>
      <c r="K22" s="309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5"/>
      <c r="O22" s="2074"/>
      <c r="P22" s="2075"/>
      <c r="Q22" s="2024"/>
      <c r="R22" s="2024"/>
      <c r="S22" s="2024"/>
      <c r="T22" s="2024"/>
      <c r="U22" s="2024"/>
      <c r="V22" s="2024"/>
    </row>
    <row r="23" spans="1:22" ht="18" customHeight="1">
      <c r="A23" s="2096" t="s">
        <v>1812</v>
      </c>
      <c r="B23" s="183" t="s">
        <v>1813</v>
      </c>
      <c r="C23" s="2097"/>
      <c r="D23" s="2098" t="s">
        <v>1813</v>
      </c>
      <c r="E23" s="2099"/>
      <c r="F23" s="2095"/>
      <c r="G23" s="2037"/>
      <c r="H23" s="2037"/>
      <c r="I23" s="2037"/>
      <c r="J23" s="2037"/>
      <c r="K23" s="2100"/>
      <c r="L23" s="744"/>
      <c r="M23" s="2023"/>
      <c r="N23" s="2075"/>
      <c r="O23" s="2074"/>
      <c r="P23" s="2075"/>
      <c r="Q23" s="2024"/>
      <c r="R23" s="2024"/>
      <c r="S23" s="2024"/>
      <c r="T23" s="2024"/>
      <c r="U23" s="2024"/>
      <c r="V23" s="2024"/>
    </row>
    <row r="24" spans="1:22" ht="18" customHeight="1">
      <c r="A24" s="2101"/>
      <c r="B24" s="183" t="s">
        <v>1814</v>
      </c>
      <c r="C24" s="2102"/>
      <c r="D24" s="2096" t="s">
        <v>1814</v>
      </c>
      <c r="E24" s="2103"/>
      <c r="F24" s="2095"/>
      <c r="G24" s="2037"/>
      <c r="H24" s="2037"/>
      <c r="I24" s="2037"/>
      <c r="J24" s="2037"/>
      <c r="K24" s="2100"/>
      <c r="L24" s="744"/>
      <c r="M24" s="2023"/>
      <c r="N24" s="2075"/>
      <c r="O24" s="2074"/>
      <c r="P24" s="2075"/>
      <c r="Q24" s="2024"/>
      <c r="R24" s="2024"/>
      <c r="S24" s="2024"/>
      <c r="T24" s="2024"/>
      <c r="U24" s="2024"/>
      <c r="V24" s="2024"/>
    </row>
    <row r="25" spans="1:22" ht="18" customHeight="1">
      <c r="A25" s="2101"/>
      <c r="B25" s="183" t="s">
        <v>1815</v>
      </c>
      <c r="C25" s="2102"/>
      <c r="D25" s="2096" t="s">
        <v>1815</v>
      </c>
      <c r="E25" s="2103"/>
      <c r="F25" s="2095"/>
      <c r="G25" s="2037"/>
      <c r="H25" s="2037"/>
      <c r="I25" s="2037"/>
      <c r="J25" s="2037"/>
      <c r="K25" s="2046"/>
      <c r="L25" s="2023"/>
      <c r="M25" s="2023"/>
      <c r="N25" s="2075"/>
      <c r="O25" s="2074"/>
      <c r="P25" s="2075"/>
      <c r="Q25" s="2024"/>
      <c r="R25" s="2024"/>
      <c r="S25" s="2024"/>
      <c r="T25" s="2024"/>
      <c r="U25" s="2024"/>
      <c r="V25" s="2024"/>
    </row>
    <row r="26" spans="1:22" ht="18" customHeight="1" thickBot="1">
      <c r="A26" s="2104"/>
      <c r="B26" s="2105" t="s">
        <v>1816</v>
      </c>
      <c r="C26" s="2106"/>
      <c r="D26" s="2107" t="s">
        <v>1817</v>
      </c>
      <c r="E26" s="2108"/>
      <c r="F26" s="2109"/>
      <c r="G26" s="2054"/>
      <c r="H26" s="2054"/>
      <c r="I26" s="2054"/>
      <c r="J26" s="2037"/>
      <c r="K26" s="2046"/>
      <c r="L26" s="2023"/>
      <c r="M26" s="2023"/>
      <c r="N26" s="2075"/>
      <c r="O26" s="2074"/>
      <c r="P26" s="2075"/>
      <c r="Q26" s="2024"/>
      <c r="R26" s="2024"/>
      <c r="S26" s="2024"/>
      <c r="T26" s="2024"/>
      <c r="U26" s="2024"/>
      <c r="V26" s="2024"/>
    </row>
    <row r="27" spans="1:22" ht="18" customHeight="1" thickTop="1">
      <c r="A27" s="3082" t="s">
        <v>1818</v>
      </c>
      <c r="B27" s="2055" t="s">
        <v>1819</v>
      </c>
      <c r="C27" s="2110" t="s">
        <v>3146</v>
      </c>
      <c r="D27" s="2111"/>
      <c r="E27" s="2037"/>
      <c r="F27" s="2037"/>
      <c r="G27" s="2037"/>
      <c r="H27" s="2037"/>
      <c r="I27" s="2037"/>
      <c r="J27" s="2024"/>
      <c r="K27" s="2073"/>
      <c r="L27" s="2074"/>
      <c r="M27" s="2074"/>
      <c r="N27" s="2075"/>
      <c r="O27" s="2074"/>
      <c r="P27" s="2075"/>
      <c r="Q27" s="2024"/>
      <c r="R27" s="2024"/>
      <c r="S27" s="2024"/>
      <c r="T27" s="2024"/>
      <c r="U27" s="2024"/>
      <c r="V27" s="2024"/>
    </row>
    <row r="28" spans="1:22" ht="18" customHeight="1">
      <c r="A28" s="3082"/>
      <c r="B28" s="2030" t="s">
        <v>1820</v>
      </c>
      <c r="C28" s="2112"/>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082"/>
      <c r="B29" s="2030" t="s">
        <v>1821</v>
      </c>
      <c r="C29" s="2115"/>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083"/>
      <c r="B30" s="2030" t="s">
        <v>1822</v>
      </c>
      <c r="C30" s="3084"/>
      <c r="D30" s="3085"/>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086" t="s">
        <v>1823</v>
      </c>
      <c r="B31" s="2117" t="s">
        <v>3138</v>
      </c>
      <c r="C31" s="2118" t="str">
        <f>IF(B31="现房","成新及维护状况正常否",IF(B31="在建","工程状态是否正常",IF(B31="土地","是否闲置","-")))</f>
        <v>成新及维护状况正常否</v>
      </c>
      <c r="D31" s="2119"/>
      <c r="E31" s="2120"/>
      <c r="F31" s="2037"/>
      <c r="G31" s="2037"/>
      <c r="H31" s="2037"/>
      <c r="I31" s="2037"/>
      <c r="J31" s="2037"/>
      <c r="K31" s="2045"/>
      <c r="L31" s="2023"/>
      <c r="M31" s="2023"/>
      <c r="N31" s="2024"/>
      <c r="O31" s="2025"/>
      <c r="P31" s="2024"/>
      <c r="Q31" s="2024"/>
      <c r="R31" s="2024"/>
      <c r="S31" s="2024"/>
      <c r="T31" s="2024"/>
      <c r="U31" s="2024"/>
      <c r="V31" s="2024"/>
    </row>
    <row r="32" spans="1:22" ht="18" customHeight="1">
      <c r="A32" s="3087"/>
      <c r="B32" s="2117"/>
      <c r="C32" s="2118" t="str">
        <f>IF(B32="现房","成新及维护状况是否正常",IF(B32="在建","工程状态是否正常",IF(B32="土地","是否闲置","-")))</f>
        <v>-</v>
      </c>
      <c r="D32" s="2119"/>
      <c r="E32" s="2120"/>
      <c r="F32" s="2037"/>
      <c r="G32" s="2037"/>
      <c r="H32" s="2037"/>
      <c r="I32" s="2037"/>
      <c r="J32" s="2037"/>
      <c r="K32" s="2046"/>
      <c r="L32" s="2023"/>
      <c r="M32" s="2023"/>
      <c r="N32" s="2024"/>
      <c r="O32" s="2025"/>
      <c r="P32" s="2024"/>
      <c r="Q32" s="2024"/>
      <c r="R32" s="2024"/>
      <c r="S32" s="2024"/>
      <c r="T32" s="2024"/>
      <c r="U32" s="2024"/>
      <c r="V32" s="2024"/>
    </row>
    <row r="33" spans="1:22" ht="18" customHeight="1">
      <c r="A33" s="3087"/>
      <c r="B33" s="2121"/>
      <c r="C33" s="2061" t="str">
        <f>IF(B33="现房","成新及维护状况是否正常",IF(B33="在建","工程状态是否正常",IF(B33="土地","是否闲置","-")))</f>
        <v>-</v>
      </c>
      <c r="D33" s="2122"/>
      <c r="E33" s="2123"/>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4" t="s">
        <v>3139</v>
      </c>
      <c r="C34" s="2124" t="s">
        <v>3140</v>
      </c>
      <c r="D34" s="2124" t="s">
        <v>3141</v>
      </c>
      <c r="E34" s="2124" t="s">
        <v>3142</v>
      </c>
      <c r="F34" s="2124" t="s">
        <v>3143</v>
      </c>
      <c r="G34" s="2124" t="s">
        <v>3144</v>
      </c>
      <c r="H34" s="2124" t="s">
        <v>3145</v>
      </c>
      <c r="I34" s="2037"/>
      <c r="J34" s="2037"/>
      <c r="K34" s="1790">
        <f>COUNTIF(B34:H34,"——")</f>
        <v>0</v>
      </c>
      <c r="L34" s="2065" t="s">
        <v>1825</v>
      </c>
      <c r="M34" s="2065" t="s">
        <v>1826</v>
      </c>
      <c r="N34" s="2065" t="s">
        <v>1827</v>
      </c>
      <c r="O34" s="2065" t="s">
        <v>1828</v>
      </c>
      <c r="P34" s="2065" t="s">
        <v>1829</v>
      </c>
      <c r="Q34" s="2065" t="s">
        <v>1830</v>
      </c>
      <c r="R34" s="2065" t="s">
        <v>1831</v>
      </c>
      <c r="S34" s="3081" t="s">
        <v>1832</v>
      </c>
      <c r="T34" s="2125" t="str">
        <f>NUMBERSTRING(7-K34,1)&amp;"通"</f>
        <v>七通</v>
      </c>
      <c r="U34" s="2024"/>
      <c r="V34" s="2024"/>
    </row>
    <row r="35" spans="1:22" ht="18" customHeight="1">
      <c r="A35" s="2126"/>
      <c r="B35" s="3088" t="s">
        <v>1833</v>
      </c>
      <c r="C35" s="3088"/>
      <c r="D35" s="3088"/>
      <c r="E35" s="3088"/>
      <c r="F35" s="2127">
        <f>C10</f>
        <v>0</v>
      </c>
      <c r="G35" s="2037"/>
      <c r="H35" s="2037"/>
      <c r="I35" s="2037"/>
      <c r="J35" s="2037"/>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1"/>
      <c r="T35" s="48" t="str">
        <f>IF(T34="一通",L35,IF(T34="二通",M35,IF(T34="三通",N35,IF(T34="四通",O35,IF(T34="五通",P35,IF(T34="六通",Q35,R35))))))</f>
        <v>通路、通电、通讯、通上水、通下水、通热、燃气</v>
      </c>
      <c r="U35" s="2024"/>
      <c r="V35" s="2024"/>
    </row>
    <row r="36" spans="1:22" ht="18" customHeight="1">
      <c r="A36" s="2128"/>
      <c r="B36" s="2127" t="s">
        <v>1834</v>
      </c>
      <c r="C36" s="2127" t="s">
        <v>1835</v>
      </c>
      <c r="D36" s="2127" t="s">
        <v>1836</v>
      </c>
      <c r="E36" s="2127" t="s">
        <v>1837</v>
      </c>
      <c r="F36" s="2129"/>
      <c r="G36" s="2037"/>
      <c r="H36" s="2037"/>
      <c r="I36" s="2037"/>
      <c r="J36" s="2037"/>
      <c r="K36" s="2046"/>
      <c r="L36" s="2023"/>
      <c r="M36" s="2023"/>
      <c r="N36" s="2024"/>
      <c r="O36" s="2025"/>
      <c r="P36" s="2024"/>
      <c r="Q36" s="2024"/>
      <c r="R36" s="2024"/>
      <c r="S36" s="2024"/>
      <c r="T36" s="2024"/>
      <c r="U36" s="2024"/>
      <c r="V36" s="2024"/>
    </row>
    <row r="37" spans="1:22" ht="18" customHeight="1">
      <c r="A37" s="2130" t="s">
        <v>1838</v>
      </c>
      <c r="B37" s="2131" t="s">
        <v>523</v>
      </c>
      <c r="C37" s="2131"/>
      <c r="D37" s="2131"/>
      <c r="E37" s="2131"/>
      <c r="F37" s="2129"/>
      <c r="G37" s="2037"/>
      <c r="H37" s="2037"/>
      <c r="I37" s="2037"/>
      <c r="J37" s="2037"/>
      <c r="K37" s="2046"/>
      <c r="L37" s="2023"/>
      <c r="M37" s="2023"/>
      <c r="N37" s="2024"/>
      <c r="O37" s="2025"/>
      <c r="P37" s="2024"/>
      <c r="Q37" s="2024"/>
      <c r="R37" s="2024"/>
      <c r="S37" s="2024"/>
      <c r="T37" s="2024"/>
      <c r="U37" s="2024"/>
      <c r="V37" s="2024"/>
    </row>
    <row r="38" spans="1:22" ht="18" customHeight="1" thickBot="1">
      <c r="A38" s="2132" t="s">
        <v>1839</v>
      </c>
      <c r="B38" s="2133" t="s">
        <v>402</v>
      </c>
      <c r="C38" s="2133"/>
      <c r="D38" s="2133"/>
      <c r="E38" s="2133"/>
      <c r="F38" s="2134"/>
      <c r="G38" s="2054"/>
      <c r="H38" s="2054"/>
      <c r="I38" s="2054"/>
      <c r="J38" s="2037"/>
      <c r="K38" s="2046"/>
      <c r="L38" s="2023"/>
      <c r="M38" s="2023"/>
      <c r="N38" s="2024"/>
      <c r="O38" s="2025"/>
      <c r="P38" s="2024"/>
      <c r="Q38" s="2024"/>
      <c r="R38" s="2024"/>
      <c r="S38" s="2024"/>
      <c r="T38" s="2024"/>
      <c r="U38" s="2024"/>
      <c r="V38" s="2024"/>
    </row>
    <row r="39" spans="1:22" s="2139" customFormat="1" ht="18" customHeight="1" thickTop="1" thickBot="1">
      <c r="A39" s="2135" t="s">
        <v>1840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4"/>
      <c r="B40" s="2024"/>
      <c r="C40" s="2024"/>
      <c r="D40" s="2024"/>
      <c r="E40" s="2024"/>
      <c r="F40" s="2024"/>
      <c r="G40" s="2024"/>
      <c r="H40" s="2024"/>
      <c r="I40" s="2140"/>
      <c r="J40" s="2075"/>
      <c r="K40" s="665"/>
      <c r="L40" s="2074"/>
      <c r="M40" s="2074"/>
      <c r="N40" s="2075"/>
      <c r="O40" s="2074"/>
      <c r="P40" s="2024"/>
      <c r="Q40" s="2024"/>
      <c r="R40" s="2024"/>
      <c r="S40" s="2024"/>
      <c r="T40" s="2024"/>
      <c r="U40" s="2024"/>
      <c r="V40" s="2024"/>
    </row>
    <row r="41" spans="1:22" ht="18" customHeight="1">
      <c r="A41" s="8" t="s">
        <v>1841</v>
      </c>
      <c r="B41" s="2141"/>
      <c r="C41" s="2142"/>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5" t="s">
        <v>1842</v>
      </c>
      <c r="B42" s="1790" t="s">
        <v>1843</v>
      </c>
      <c r="C42" s="1790" t="s">
        <v>1844</v>
      </c>
      <c r="D42" s="1790" t="s">
        <v>1845</v>
      </c>
      <c r="E42" s="1790" t="s">
        <v>1846</v>
      </c>
      <c r="F42" s="1790" t="s">
        <v>1847</v>
      </c>
      <c r="G42" s="1790" t="s">
        <v>1848</v>
      </c>
      <c r="H42" s="1790" t="s">
        <v>1849</v>
      </c>
      <c r="I42" s="1790" t="s">
        <v>1850</v>
      </c>
      <c r="J42" s="2143" t="s">
        <v>1851</v>
      </c>
      <c r="K42" s="2066" t="s">
        <v>1852</v>
      </c>
      <c r="L42" s="2066" t="s">
        <v>1853</v>
      </c>
      <c r="M42" s="2066" t="s">
        <v>1854</v>
      </c>
      <c r="N42" s="1790" t="s">
        <v>1855</v>
      </c>
      <c r="O42" s="1790" t="s">
        <v>1856</v>
      </c>
      <c r="P42" s="1790" t="s">
        <v>1857</v>
      </c>
      <c r="Q42" s="2065" t="s">
        <v>1858</v>
      </c>
      <c r="R42" s="2065" t="s">
        <v>1859</v>
      </c>
      <c r="S42" s="2024"/>
      <c r="T42" s="2024"/>
      <c r="U42" s="2024"/>
      <c r="V42" s="2024"/>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3"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4"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8" customFormat="1" ht="24">
      <c r="A2" s="11" t="s">
        <v>1862</v>
      </c>
      <c r="B2" s="11" t="s">
        <v>1863</v>
      </c>
      <c r="C2" s="11" t="s">
        <v>1864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1865</v>
      </c>
      <c r="AZ2" s="1266" t="s">
        <v>1866</v>
      </c>
      <c r="BA2" s="11" t="s">
        <v>1867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3095.6800000000007</v>
      </c>
      <c r="C3" s="2159" t="s">
        <v>1868</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1869</v>
      </c>
      <c r="B5" s="1798"/>
      <c r="C5" s="1798"/>
      <c r="D5" s="1801"/>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1870</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1870</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1871</v>
      </c>
      <c r="B7" s="2100" t="s">
        <v>1872</v>
      </c>
      <c r="C7" s="2100" t="s">
        <v>1873</v>
      </c>
      <c r="D7" s="2100" t="s">
        <v>1874</v>
      </c>
      <c r="E7" s="2100" t="s">
        <v>1875</v>
      </c>
      <c r="F7" s="2100" t="s">
        <v>1876</v>
      </c>
      <c r="G7" s="2169" t="s">
        <v>1877</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1878</v>
      </c>
      <c r="AV7" s="23" t="s">
        <v>1879</v>
      </c>
      <c r="AW7" s="2157" t="s">
        <v>1880</v>
      </c>
      <c r="AX7" s="23" t="s">
        <v>1873</v>
      </c>
      <c r="AY7" s="1798" t="s">
        <v>1881</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1882</v>
      </c>
      <c r="H8" s="2175" t="s">
        <v>1883</v>
      </c>
      <c r="I8" s="2176"/>
      <c r="J8" s="1813"/>
      <c r="K8" s="1813"/>
      <c r="L8" s="1813"/>
      <c r="M8" s="1813"/>
      <c r="N8" s="1813"/>
      <c r="O8" s="1813"/>
      <c r="P8" s="1813"/>
      <c r="Q8" s="1813"/>
      <c r="R8" s="1813"/>
      <c r="S8" s="1813"/>
      <c r="T8" s="1813"/>
      <c r="U8" s="1813"/>
      <c r="V8" s="2177"/>
      <c r="W8" s="1813"/>
      <c r="X8" s="1813"/>
      <c r="Y8" s="1813"/>
      <c r="Z8" s="1813"/>
      <c r="AA8" s="2177"/>
      <c r="AB8" s="2178"/>
      <c r="AC8" s="977" t="s">
        <v>1884</v>
      </c>
      <c r="AD8" s="2179"/>
      <c r="AE8" s="2171"/>
      <c r="AF8" s="1813"/>
      <c r="AG8" s="1813"/>
      <c r="AH8" s="1813"/>
      <c r="AI8" s="1813"/>
      <c r="AJ8" s="1813"/>
      <c r="AK8" s="1813"/>
      <c r="AL8" s="1813"/>
      <c r="AM8" s="1813"/>
      <c r="AN8" s="1813"/>
      <c r="AO8" s="1813"/>
      <c r="AP8" s="1813"/>
      <c r="AQ8" s="1813"/>
      <c r="AR8" s="1813"/>
      <c r="AS8" s="1813"/>
      <c r="AT8" s="1288" t="s">
        <v>1885</v>
      </c>
      <c r="AU8" s="2173" t="s">
        <v>1886</v>
      </c>
      <c r="AV8" s="1288"/>
      <c r="AW8" s="2156"/>
      <c r="AX8" s="1288"/>
      <c r="AY8" s="2157"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88"/>
      <c r="H9" s="2181" t="s">
        <v>1889</v>
      </c>
      <c r="I9" s="2182" t="s">
        <v>3151</v>
      </c>
      <c r="J9" s="977"/>
      <c r="K9" s="2182" t="s">
        <v>3201</v>
      </c>
      <c r="L9" s="977"/>
      <c r="M9" s="2182"/>
      <c r="N9" s="977"/>
      <c r="O9" s="2182"/>
      <c r="P9" s="977"/>
      <c r="Q9" s="2182"/>
      <c r="R9" s="977"/>
      <c r="S9" s="2182"/>
      <c r="T9" s="977"/>
      <c r="U9" s="2182"/>
      <c r="V9" s="977"/>
      <c r="W9" s="2182"/>
      <c r="X9" s="2183"/>
      <c r="Y9" s="2182"/>
      <c r="Z9" s="977"/>
      <c r="AA9" s="2182"/>
      <c r="AB9" s="977"/>
      <c r="AC9" s="2174" t="s">
        <v>1889</v>
      </c>
      <c r="AD9" s="15" t="s">
        <v>1890</v>
      </c>
      <c r="AE9" s="1294"/>
      <c r="AF9" s="15" t="s">
        <v>1891</v>
      </c>
      <c r="AG9" s="1294"/>
      <c r="AH9" s="15" t="s">
        <v>1890</v>
      </c>
      <c r="AI9" s="1294"/>
      <c r="AJ9" s="15" t="s">
        <v>1891</v>
      </c>
      <c r="AK9" s="1294"/>
      <c r="AL9" s="15" t="s">
        <v>1890</v>
      </c>
      <c r="AM9" s="1294"/>
      <c r="AN9" s="15" t="s">
        <v>1891</v>
      </c>
      <c r="AO9" s="1294"/>
      <c r="AP9" s="15" t="s">
        <v>1890</v>
      </c>
      <c r="AQ9" s="1294"/>
      <c r="AR9" s="15" t="s">
        <v>1891</v>
      </c>
      <c r="AS9" s="2184"/>
      <c r="AT9" s="2173"/>
      <c r="AU9" s="2173" t="s">
        <v>1892</v>
      </c>
      <c r="AV9" s="1288"/>
      <c r="AW9" s="2156"/>
      <c r="AX9" s="1288"/>
      <c r="AY9" s="28"/>
      <c r="AZ9" s="28" t="s">
        <v>1882</v>
      </c>
      <c r="BA9" s="2185" t="s">
        <v>1893</v>
      </c>
      <c r="BB9" s="2186"/>
      <c r="BC9" s="1334"/>
      <c r="BD9" s="1334"/>
      <c r="BE9" s="1334"/>
      <c r="BF9" s="1334"/>
      <c r="BG9" s="1334"/>
      <c r="BH9" s="1334"/>
      <c r="BI9" s="1334"/>
      <c r="BJ9" s="1334"/>
      <c r="BK9" s="2187"/>
      <c r="BL9" s="15" t="s">
        <v>1894</v>
      </c>
      <c r="BM9" s="1813"/>
      <c r="BN9" s="2176"/>
      <c r="BO9" s="1813"/>
      <c r="BP9" s="1813"/>
      <c r="BQ9" s="1813"/>
      <c r="BR9" s="1813"/>
      <c r="BS9" s="1813"/>
      <c r="BT9" s="26"/>
    </row>
    <row r="10" spans="1:72" s="2180" customFormat="1" ht="12.75">
      <c r="A10" s="2173"/>
      <c r="B10" s="2173"/>
      <c r="C10" s="2173"/>
      <c r="D10" s="2173"/>
      <c r="E10" s="2173"/>
      <c r="F10" s="2173"/>
      <c r="G10" s="1288"/>
      <c r="H10" s="28"/>
      <c r="I10" s="2182" t="s">
        <v>1369</v>
      </c>
      <c r="J10" s="977"/>
      <c r="K10" s="2188" t="s">
        <v>1369</v>
      </c>
      <c r="L10" s="977"/>
      <c r="M10" s="2188"/>
      <c r="N10" s="977"/>
      <c r="O10" s="2188"/>
      <c r="P10" s="977"/>
      <c r="Q10" s="2188"/>
      <c r="R10" s="977"/>
      <c r="S10" s="2188"/>
      <c r="T10" s="977"/>
      <c r="U10" s="2188"/>
      <c r="V10" s="977"/>
      <c r="W10" s="2188"/>
      <c r="X10" s="977"/>
      <c r="Y10" s="2188"/>
      <c r="Z10" s="977"/>
      <c r="AA10" s="2188"/>
      <c r="AB10" s="977"/>
      <c r="AC10" s="1288"/>
      <c r="AD10" s="15" t="s">
        <v>1895</v>
      </c>
      <c r="AE10" s="2189"/>
      <c r="AF10" s="15" t="s">
        <v>1895</v>
      </c>
      <c r="AG10" s="2189"/>
      <c r="AH10" s="15" t="s">
        <v>1896</v>
      </c>
      <c r="AI10" s="2189"/>
      <c r="AJ10" s="15" t="s">
        <v>1896</v>
      </c>
      <c r="AK10" s="2189"/>
      <c r="AL10" s="15" t="s">
        <v>1897</v>
      </c>
      <c r="AM10" s="1294"/>
      <c r="AN10" s="15" t="s">
        <v>1897</v>
      </c>
      <c r="AO10" s="1294"/>
      <c r="AP10" s="15" t="s">
        <v>1898</v>
      </c>
      <c r="AQ10" s="1294"/>
      <c r="AR10" s="15" t="s">
        <v>1898</v>
      </c>
      <c r="AS10" s="1294"/>
      <c r="AT10" s="2173"/>
      <c r="AU10" s="2173"/>
      <c r="AV10" s="1288"/>
      <c r="AW10" s="2156"/>
      <c r="AX10" s="1288"/>
      <c r="AY10" s="28"/>
      <c r="AZ10" s="28"/>
      <c r="BA10" s="2190" t="s">
        <v>1889</v>
      </c>
      <c r="BB10" s="2191" t="str">
        <f>I9</f>
        <v>地上</v>
      </c>
      <c r="BC10" s="29" t="str">
        <f>K9</f>
        <v>地下</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88"/>
      <c r="H11" s="2190"/>
      <c r="I11" s="2193" t="s">
        <v>3152</v>
      </c>
      <c r="J11" s="2194"/>
      <c r="K11" s="2193" t="s">
        <v>3202</v>
      </c>
      <c r="L11" s="2194"/>
      <c r="M11" s="2193"/>
      <c r="N11" s="2194"/>
      <c r="O11" s="2193"/>
      <c r="P11" s="2194"/>
      <c r="Q11" s="2193"/>
      <c r="R11" s="2194"/>
      <c r="S11" s="2193"/>
      <c r="T11" s="2194"/>
      <c r="U11" s="2193"/>
      <c r="V11" s="2194"/>
      <c r="W11" s="2193"/>
      <c r="X11" s="2194"/>
      <c r="Y11" s="2193"/>
      <c r="Z11" s="2194"/>
      <c r="AA11" s="2193"/>
      <c r="AB11" s="2194"/>
      <c r="AC11" s="1288"/>
      <c r="AD11" s="2195" t="s">
        <v>1899</v>
      </c>
      <c r="AE11" s="1814"/>
      <c r="AF11" s="2195" t="s">
        <v>1899</v>
      </c>
      <c r="AG11" s="1814"/>
      <c r="AH11" s="2195" t="s">
        <v>1900</v>
      </c>
      <c r="AI11" s="2196"/>
      <c r="AJ11" s="2195" t="s">
        <v>1900</v>
      </c>
      <c r="AK11" s="1814"/>
      <c r="AL11" s="1812"/>
      <c r="AM11" s="1814"/>
      <c r="AN11" s="1812"/>
      <c r="AO11" s="1814"/>
      <c r="AP11" s="1812"/>
      <c r="AQ11" s="1814"/>
      <c r="AR11" s="1812"/>
      <c r="AS11" s="1814"/>
      <c r="AT11" s="2156"/>
      <c r="AU11" s="2173"/>
      <c r="AV11" s="1288"/>
      <c r="AW11" s="2156"/>
      <c r="AX11" s="1288"/>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200"/>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8" t="s">
        <v>1902</v>
      </c>
      <c r="AT12" s="2201"/>
      <c r="AU12" s="2198"/>
      <c r="AV12" s="31"/>
      <c r="AW12" s="2157"/>
      <c r="AX12" s="31"/>
      <c r="AY12" s="2202"/>
      <c r="AZ12" s="28"/>
      <c r="BA12" s="2190"/>
      <c r="BB12" s="24" t="str">
        <f>I11</f>
        <v>独立商业</v>
      </c>
      <c r="BC12" s="2203" t="str">
        <f>K11</f>
        <v>底商</v>
      </c>
      <c r="BD12" s="2203">
        <f>M11</f>
        <v>0</v>
      </c>
      <c r="BE12" s="2178">
        <f>O11</f>
        <v>0</v>
      </c>
      <c r="BF12" s="2178">
        <f>Q11</f>
        <v>0</v>
      </c>
      <c r="BG12" s="2178">
        <f>S11</f>
        <v>0</v>
      </c>
      <c r="BH12" s="2178">
        <f>U11</f>
        <v>0</v>
      </c>
      <c r="BI12" s="2178">
        <f>W11</f>
        <v>0</v>
      </c>
      <c r="BJ12" s="2178">
        <f>Y11</f>
        <v>0</v>
      </c>
      <c r="BK12" s="2178">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38.25">
      <c r="A13" s="1268" t="s">
        <v>3154</v>
      </c>
      <c r="B13" s="1268"/>
      <c r="C13" s="1268" t="s">
        <v>3165</v>
      </c>
      <c r="D13" s="2204" t="s">
        <v>3153</v>
      </c>
      <c r="E13" s="16">
        <f>IF($C$3="是",ROUND($A$3*G13/$B$3,2),ROUND($A$3*(G13-AT13)/$B$3,2))</f>
        <v>0</v>
      </c>
      <c r="F13" s="32"/>
      <c r="G13" s="33">
        <f>H13+AC13+AT13</f>
        <v>3075.7000000000007</v>
      </c>
      <c r="H13" s="20">
        <f>SUMIF(I$12:AB$12,"总值",I13:AB13)</f>
        <v>3075.7000000000007</v>
      </c>
      <c r="I13" s="2205">
        <f>清单!G40</f>
        <v>3075.7000000000007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t="str">
        <f t="shared" ref="AV13:AX17" si="6">A13</f>
        <v>京朝国用（2004出）第0374号</v>
      </c>
      <c r="AW13" s="11">
        <f t="shared" si="6"/>
        <v>0</v>
      </c>
      <c r="AX13" s="11" t="str">
        <f t="shared" si="6"/>
        <v>9号楼、10号楼</v>
      </c>
      <c r="AY13" s="1801">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38.25">
      <c r="A14" s="1268" t="s">
        <v>3154</v>
      </c>
      <c r="B14" s="1268"/>
      <c r="C14" s="2144" t="s">
        <v>3155</v>
      </c>
      <c r="D14" s="2204" t="s">
        <v>3153</v>
      </c>
      <c r="E14" s="16">
        <f>IF($C$3="是",ROUND($A$3*G14/$B$3,2),ROUND($A$3*(G14-AT14)/$B$3,2))</f>
        <v>0</v>
      </c>
      <c r="F14" s="32"/>
      <c r="G14" s="33">
        <f>H14+AC14+AT14</f>
        <v>19.98</v>
      </c>
      <c r="H14" s="20">
        <f>SUMIF(I$12:AB$12,"总值",I14:AB14)</f>
        <v>19.98</v>
      </c>
      <c r="I14" s="2205"/>
      <c r="J14" s="2205"/>
      <c r="K14" s="2205">
        <v>19.98</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t="str">
        <f t="shared" si="6"/>
        <v>京朝国用（2004出）第0374号</v>
      </c>
      <c r="AW14" s="11">
        <f t="shared" si="6"/>
        <v>0</v>
      </c>
      <c r="AX14" s="11" t="str">
        <f t="shared" si="6"/>
        <v>1号楼</v>
      </c>
      <c r="AY14" s="1801">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8"/>
      <c r="B15" s="1268"/>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8"/>
      <c r="B16" s="1268"/>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8"/>
      <c r="B17" s="1268"/>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1928</v>
      </c>
      <c r="B1" s="1388"/>
      <c r="C1" s="1388"/>
      <c r="D1" s="1388"/>
      <c r="E1" s="1388"/>
      <c r="F1" s="1388"/>
      <c r="G1" s="1388"/>
      <c r="H1" s="1388"/>
      <c r="I1" s="1388"/>
      <c r="J1" s="1388"/>
      <c r="K1" s="1388"/>
      <c r="L1" s="1388"/>
      <c r="M1" s="1388"/>
      <c r="N1" s="1388"/>
      <c r="O1" s="1388"/>
      <c r="P1" s="1388"/>
    </row>
    <row r="2" spans="1:16" ht="15">
      <c r="A2" s="3122" t="s">
        <v>1929</v>
      </c>
      <c r="B2" s="3122"/>
      <c r="C2" s="3122"/>
      <c r="D2" s="963" t="s">
        <v>1905</v>
      </c>
      <c r="E2" s="2218" t="s">
        <v>1906</v>
      </c>
      <c r="F2" s="1388"/>
      <c r="G2" s="2219"/>
      <c r="H2" s="2220"/>
      <c r="I2" s="2221" t="s">
        <v>1930</v>
      </c>
      <c r="J2" s="1388"/>
      <c r="K2" s="1388"/>
      <c r="L2" s="1388"/>
      <c r="M2" s="1388"/>
      <c r="N2" s="1423"/>
      <c r="O2" s="1388"/>
      <c r="P2" s="1388"/>
    </row>
    <row r="3" spans="1:16" ht="15.75" thickBot="1">
      <c r="A3" s="3123" t="s">
        <v>1903</v>
      </c>
      <c r="B3" s="3123"/>
      <c r="C3" s="3123"/>
      <c r="D3" s="46">
        <f>'数据-基础表'!AY6</f>
        <v>0</v>
      </c>
      <c r="E3" s="46">
        <f>'数据-基础表'!AZ5</f>
        <v>3095.6800000000007</v>
      </c>
      <c r="F3" s="1388"/>
      <c r="G3" s="1395"/>
      <c r="H3" s="1243" t="s">
        <v>1904</v>
      </c>
      <c r="I3" s="55" t="e">
        <f>ROUND('数据-基础表'!B3/'数据-基础表'!A3,2)</f>
        <v>#DIV/0!</v>
      </c>
      <c r="J3" s="1388"/>
      <c r="K3" s="1388"/>
      <c r="L3" s="1388"/>
      <c r="M3" s="1388"/>
      <c r="N3" s="1423"/>
      <c r="O3" s="1388"/>
      <c r="P3" s="1388"/>
    </row>
    <row r="4" spans="1:16" ht="15">
      <c r="A4" s="3124"/>
      <c r="B4" s="3125"/>
      <c r="C4" s="3126"/>
      <c r="D4" s="2222" t="s">
        <v>1905</v>
      </c>
      <c r="E4" s="2223" t="s">
        <v>1906</v>
      </c>
      <c r="F4" s="1388"/>
      <c r="G4" s="2224" t="s">
        <v>1931</v>
      </c>
      <c r="H4" s="1243" t="s">
        <v>1911</v>
      </c>
      <c r="I4" s="55" t="e">
        <f>ROUND(SUMIF('数据-基础表'!I9:AS9,"地上",'数据-基础表'!I5:AS5)/'数据-基础表'!A3,2)</f>
        <v>#DIV/0!</v>
      </c>
      <c r="J4" s="1388"/>
      <c r="K4" s="1388"/>
      <c r="L4" s="1388"/>
      <c r="M4" s="1388"/>
      <c r="N4" s="1423"/>
      <c r="O4" s="1388"/>
      <c r="P4" s="1388"/>
    </row>
    <row r="5" spans="1:16">
      <c r="A5" s="47" t="s">
        <v>1907</v>
      </c>
      <c r="B5" s="3127" t="s">
        <v>1908</v>
      </c>
      <c r="C5" s="3127"/>
      <c r="D5" s="48">
        <f>ROUND($D$3*E5/$E$3,2)</f>
        <v>0</v>
      </c>
      <c r="E5" s="49">
        <f>SUMIF('数据-基础表'!$11:$11,"住宅",'数据-基础表'!$5:$5)</f>
        <v>0</v>
      </c>
      <c r="F5" s="1388"/>
      <c r="G5" s="1395"/>
      <c r="H5" s="1243" t="s">
        <v>1904</v>
      </c>
      <c r="I5" s="55" t="e">
        <f>ROUND(E31/D31,2)</f>
        <v>#DIV/0!</v>
      </c>
      <c r="J5" s="1388"/>
      <c r="K5" s="1388"/>
      <c r="L5" s="1388"/>
      <c r="M5" s="1388"/>
      <c r="N5" s="1388"/>
      <c r="O5" s="1388"/>
      <c r="P5" s="1388"/>
    </row>
    <row r="6" spans="1:16" ht="15" thickBot="1">
      <c r="A6" s="2225"/>
      <c r="B6" s="3127" t="s">
        <v>1909</v>
      </c>
      <c r="C6" s="3127"/>
      <c r="D6" s="48">
        <f>ROUND($D$3*E6/$E$3,2)</f>
        <v>0</v>
      </c>
      <c r="E6" s="49">
        <f>E3-E5</f>
        <v>3095.6800000000007</v>
      </c>
      <c r="F6" s="1388"/>
      <c r="G6" s="2226" t="s">
        <v>1910</v>
      </c>
      <c r="H6" s="1395" t="s">
        <v>1911</v>
      </c>
      <c r="I6" s="935" t="e">
        <f>ROUND(F31/D31,2)</f>
        <v>#DIV/0!</v>
      </c>
      <c r="J6" s="1388"/>
      <c r="K6" s="1388"/>
      <c r="L6" s="1388"/>
      <c r="M6" s="1388"/>
      <c r="N6" s="1388"/>
      <c r="O6" s="1388"/>
      <c r="P6" s="1388"/>
    </row>
    <row r="7" spans="1:16" ht="15">
      <c r="A7" s="3119"/>
      <c r="B7" s="3120"/>
      <c r="C7" s="3121"/>
      <c r="D7" s="2222" t="s">
        <v>1905</v>
      </c>
      <c r="E7" s="2227" t="s">
        <v>1912</v>
      </c>
      <c r="F7" s="1388"/>
      <c r="G7" s="2219" t="s">
        <v>1913</v>
      </c>
      <c r="H7" s="64"/>
      <c r="I7" s="420">
        <v>3.14</v>
      </c>
      <c r="J7" s="1388"/>
      <c r="K7" s="1388"/>
      <c r="L7" s="1388"/>
      <c r="M7" s="1388"/>
      <c r="N7" s="1388"/>
      <c r="O7" s="1388"/>
      <c r="P7" s="1388"/>
    </row>
    <row r="8" spans="1:16">
      <c r="A8" s="47" t="s">
        <v>1914</v>
      </c>
      <c r="B8" s="50" t="s">
        <v>1915</v>
      </c>
      <c r="C8" s="48" t="s">
        <v>1916</v>
      </c>
      <c r="D8" s="48">
        <f t="shared" ref="D8:D15" si="0">ROUND($D$3*E8/$E$3,2)</f>
        <v>0</v>
      </c>
      <c r="E8" s="51">
        <f>SUMIF('数据-基础表'!BB10:BK10,"地上",'数据-基础表'!BB5:BK5)</f>
        <v>3075.7000000000007</v>
      </c>
      <c r="F8" s="1388"/>
      <c r="G8" s="2228"/>
      <c r="H8" s="2228"/>
      <c r="I8" s="1388"/>
      <c r="J8" s="1388"/>
      <c r="K8" s="1388"/>
      <c r="L8" s="1388"/>
      <c r="M8" s="1388"/>
      <c r="N8" s="1388"/>
      <c r="O8" s="1388"/>
      <c r="P8" s="1388"/>
    </row>
    <row r="9" spans="1:16">
      <c r="A9" s="2229"/>
      <c r="B9" s="2230"/>
      <c r="C9" s="48" t="s">
        <v>1917</v>
      </c>
      <c r="D9" s="48">
        <f t="shared" si="0"/>
        <v>0</v>
      </c>
      <c r="E9" s="52">
        <v>0</v>
      </c>
      <c r="F9" s="1388"/>
      <c r="G9" s="2228"/>
      <c r="H9" s="2228"/>
      <c r="I9" s="1388"/>
      <c r="J9" s="1388"/>
      <c r="K9" s="1388"/>
      <c r="L9" s="1388"/>
      <c r="M9" s="1388"/>
      <c r="N9" s="1388"/>
      <c r="O9" s="1388"/>
      <c r="P9" s="1388"/>
    </row>
    <row r="10" spans="1:16">
      <c r="A10" s="2229"/>
      <c r="B10" s="2230"/>
      <c r="C10" s="48" t="s">
        <v>1926</v>
      </c>
      <c r="D10" s="48">
        <f t="shared" si="0"/>
        <v>0</v>
      </c>
      <c r="E10" s="51">
        <f>SUMPRODUCT(('数据-基础表'!BB10:BK10="地下")*('数据-基础表'!BB11:BK11="商业")*('数据-基础表'!BB5:BK5))</f>
        <v>19.98</v>
      </c>
      <c r="F10" s="1388"/>
      <c r="G10" s="2228"/>
      <c r="H10" s="2228"/>
      <c r="I10" s="1388"/>
      <c r="J10" s="1388"/>
      <c r="K10" s="1388"/>
      <c r="L10" s="1388"/>
      <c r="M10" s="1388"/>
      <c r="N10" s="1388"/>
      <c r="O10" s="1388"/>
      <c r="P10" s="1388"/>
    </row>
    <row r="11" spans="1:16">
      <c r="A11" s="2229"/>
      <c r="B11" s="2230"/>
      <c r="C11" s="48" t="s">
        <v>1918</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1919</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1920</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1932</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1927</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1921</v>
      </c>
      <c r="D16" s="50">
        <f>SUM(D8:D15)</f>
        <v>0</v>
      </c>
      <c r="E16" s="53">
        <f>SUM(E8:E15)</f>
        <v>3095.6800000000007</v>
      </c>
      <c r="F16" s="1388"/>
      <c r="G16" s="2228"/>
      <c r="H16" s="2231" t="s">
        <v>1933</v>
      </c>
      <c r="I16" s="2232"/>
      <c r="J16" s="1388"/>
      <c r="K16" s="3116" t="s">
        <v>1933</v>
      </c>
      <c r="L16" s="3117"/>
      <c r="M16" s="3117"/>
      <c r="N16" s="3117"/>
      <c r="O16" s="3117"/>
      <c r="P16" s="3118"/>
    </row>
    <row r="17" spans="1:19" ht="15">
      <c r="A17" s="2233" t="s">
        <v>1934</v>
      </c>
      <c r="B17" s="2234" t="s">
        <v>1935</v>
      </c>
      <c r="C17" s="2235" t="s">
        <v>1936</v>
      </c>
      <c r="D17" s="2236" t="s">
        <v>1924</v>
      </c>
      <c r="E17" s="2237" t="s">
        <v>1925</v>
      </c>
      <c r="F17" s="2238"/>
      <c r="G17" s="2239"/>
      <c r="H17" s="2240" t="s">
        <v>1937</v>
      </c>
      <c r="I17" s="2241" t="s">
        <v>1922</v>
      </c>
      <c r="J17" s="1388"/>
      <c r="K17" s="3113" t="s">
        <v>1938</v>
      </c>
      <c r="L17" s="3114"/>
      <c r="M17" s="3115"/>
      <c r="N17" s="3113" t="s">
        <v>1939</v>
      </c>
      <c r="O17" s="3114"/>
      <c r="P17" s="3115"/>
      <c r="R17" s="2219" t="s">
        <v>1940</v>
      </c>
      <c r="S17" s="64"/>
    </row>
    <row r="18" spans="1:19" ht="15">
      <c r="A18" s="2229"/>
      <c r="B18" s="2242"/>
      <c r="C18" s="2243"/>
      <c r="D18" s="2244"/>
      <c r="E18" s="2245" t="s">
        <v>1941</v>
      </c>
      <c r="F18" s="2246" t="s">
        <v>1942</v>
      </c>
      <c r="G18" s="2247" t="s">
        <v>1943</v>
      </c>
      <c r="H18" s="1258" t="s">
        <v>1944</v>
      </c>
      <c r="I18" s="2248" t="s">
        <v>1945</v>
      </c>
      <c r="J18" s="1388"/>
      <c r="K18" s="1258" t="s">
        <v>1946</v>
      </c>
      <c r="L18" s="2249" t="s">
        <v>1947</v>
      </c>
      <c r="M18" s="1042" t="s">
        <v>1948</v>
      </c>
      <c r="N18" s="1258" t="s">
        <v>1946</v>
      </c>
      <c r="O18" s="2249" t="s">
        <v>1947</v>
      </c>
      <c r="P18" s="1042" t="s">
        <v>1948</v>
      </c>
      <c r="R18" s="1243" t="s">
        <v>1949</v>
      </c>
      <c r="S18" s="1243" t="s">
        <v>1950</v>
      </c>
    </row>
    <row r="19" spans="1:19">
      <c r="A19" s="2250"/>
      <c r="B19" s="50" t="s">
        <v>1923</v>
      </c>
      <c r="C19" s="2251" t="s">
        <v>3156</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2"/>
      <c r="O19" s="2253"/>
      <c r="P19" s="1399">
        <f>N19+O19</f>
        <v>0</v>
      </c>
      <c r="R19" s="1243">
        <f t="shared" ref="R19:S26" si="5">D19+H19</f>
        <v>0</v>
      </c>
      <c r="S19" s="1244">
        <f t="shared" si="5"/>
        <v>3075.7000000000007</v>
      </c>
    </row>
    <row r="20" spans="1:19">
      <c r="A20" s="2254"/>
      <c r="B20" s="50" t="s">
        <v>1951</v>
      </c>
      <c r="C20" s="2976" t="s">
        <v>3204</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2"/>
      <c r="O20" s="2253"/>
      <c r="P20" s="1399">
        <f t="shared" ref="P20:P26" si="9">N20+O20</f>
        <v>0</v>
      </c>
      <c r="R20" s="1243">
        <f t="shared" si="5"/>
        <v>0</v>
      </c>
      <c r="S20" s="1244">
        <f t="shared" si="5"/>
        <v>19.98</v>
      </c>
    </row>
    <row r="21" spans="1:19">
      <c r="A21" s="2254"/>
      <c r="B21" s="50" t="s">
        <v>1951</v>
      </c>
      <c r="C21" s="2251"/>
      <c r="D21" s="48">
        <f t="shared" si="6"/>
        <v>0</v>
      </c>
      <c r="E21" s="56">
        <f t="shared" si="1"/>
        <v>0</v>
      </c>
      <c r="F21" s="57"/>
      <c r="G21" s="58"/>
      <c r="H21" s="719">
        <f t="shared" si="7"/>
        <v>0</v>
      </c>
      <c r="I21" s="51">
        <f t="shared" si="2"/>
        <v>0</v>
      </c>
      <c r="J21" s="1388"/>
      <c r="K21" s="1387">
        <f t="shared" si="3"/>
        <v>0</v>
      </c>
      <c r="L21" s="1243">
        <f t="shared" si="4"/>
        <v>0</v>
      </c>
      <c r="M21" s="1399">
        <f t="shared" si="8"/>
        <v>0</v>
      </c>
      <c r="N21" s="2252"/>
      <c r="O21" s="2253"/>
      <c r="P21" s="1399">
        <f t="shared" si="9"/>
        <v>0</v>
      </c>
      <c r="R21" s="1243">
        <f t="shared" si="5"/>
        <v>0</v>
      </c>
      <c r="S21" s="1244">
        <f t="shared" si="5"/>
        <v>0</v>
      </c>
    </row>
    <row r="22" spans="1:19">
      <c r="A22" s="2254"/>
      <c r="B22" s="50" t="s">
        <v>1951</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2"/>
      <c r="O22" s="2253"/>
      <c r="P22" s="1399">
        <f t="shared" si="9"/>
        <v>0</v>
      </c>
      <c r="R22" s="1243">
        <f t="shared" si="5"/>
        <v>0</v>
      </c>
      <c r="S22" s="1244">
        <f t="shared" si="5"/>
        <v>0</v>
      </c>
    </row>
    <row r="23" spans="1:19">
      <c r="A23" s="2254"/>
      <c r="B23" s="50" t="s">
        <v>1951</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2"/>
      <c r="O23" s="2253"/>
      <c r="P23" s="1399">
        <f t="shared" si="9"/>
        <v>0</v>
      </c>
      <c r="R23" s="1243">
        <f t="shared" si="5"/>
        <v>0</v>
      </c>
      <c r="S23" s="1244">
        <f t="shared" si="5"/>
        <v>0</v>
      </c>
    </row>
    <row r="24" spans="1:19">
      <c r="A24" s="2254"/>
      <c r="B24" s="50" t="s">
        <v>1951</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2"/>
      <c r="O24" s="2253"/>
      <c r="P24" s="1399">
        <f t="shared" si="9"/>
        <v>0</v>
      </c>
      <c r="R24" s="1243">
        <f t="shared" si="5"/>
        <v>0</v>
      </c>
      <c r="S24" s="1244">
        <f t="shared" si="5"/>
        <v>0</v>
      </c>
    </row>
    <row r="25" spans="1:19">
      <c r="A25" s="2254"/>
      <c r="B25" s="50" t="s">
        <v>1951</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2"/>
      <c r="O25" s="2253"/>
      <c r="P25" s="1399">
        <f t="shared" si="9"/>
        <v>0</v>
      </c>
      <c r="R25" s="1243">
        <f t="shared" si="5"/>
        <v>0</v>
      </c>
      <c r="S25" s="1244">
        <f t="shared" si="5"/>
        <v>0</v>
      </c>
    </row>
    <row r="26" spans="1:19">
      <c r="A26" s="2254"/>
      <c r="B26" s="50" t="s">
        <v>1951</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5"/>
      <c r="O26" s="2256"/>
      <c r="P26" s="67">
        <f t="shared" si="9"/>
        <v>0</v>
      </c>
      <c r="R26" s="1243">
        <f t="shared" si="5"/>
        <v>0</v>
      </c>
      <c r="S26" s="1244">
        <f t="shared" si="5"/>
        <v>0</v>
      </c>
    </row>
    <row r="27" spans="1:19" ht="15.75" thickBot="1">
      <c r="A27" s="2254"/>
      <c r="B27" s="48"/>
      <c r="C27" s="2257" t="s">
        <v>1952</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4"/>
      <c r="B28" s="50" t="s">
        <v>1953</v>
      </c>
      <c r="C28" s="1255" t="s">
        <v>1954</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4"/>
      <c r="B29" s="50" t="s">
        <v>1953</v>
      </c>
      <c r="C29" s="2258" t="s">
        <v>1955</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4"/>
      <c r="B30" s="50"/>
      <c r="C30" s="2259" t="s">
        <v>1952</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0"/>
      <c r="B31" s="2261"/>
      <c r="C31" s="1003" t="s">
        <v>1956</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4"/>
      <c r="B32" s="2224" t="s">
        <v>1957</v>
      </c>
      <c r="C32" s="2224"/>
      <c r="D32" s="2224"/>
      <c r="E32" s="1270">
        <f>SUMIF(C19:C26,"*住宅*",E19:E26)</f>
        <v>0</v>
      </c>
      <c r="F32" s="2224"/>
      <c r="G32" s="2224"/>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1958</v>
      </c>
      <c r="B1" s="728"/>
      <c r="C1" s="1577"/>
      <c r="D1" s="2264"/>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7" t="s">
        <v>1959</v>
      </c>
      <c r="B2" s="1262">
        <f>项目基本情况!D3</f>
        <v>43619</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1960</v>
      </c>
      <c r="B4" s="2272"/>
      <c r="C4" s="2273"/>
      <c r="D4" s="2274"/>
      <c r="E4" s="2273" t="s">
        <v>1961</v>
      </c>
      <c r="F4" s="2273"/>
      <c r="G4" s="2273"/>
      <c r="H4" s="2273"/>
      <c r="I4" s="2273"/>
      <c r="J4" s="2275"/>
      <c r="K4" s="2276"/>
      <c r="L4" s="2277"/>
      <c r="M4" s="2273"/>
      <c r="N4" s="2273" t="s">
        <v>1962</v>
      </c>
      <c r="O4" s="2273"/>
      <c r="P4" s="2273"/>
      <c r="Q4" s="2273"/>
      <c r="R4" s="2273"/>
      <c r="S4" s="2275"/>
      <c r="T4" s="2278" t="str">
        <f>'数据-汇总表'!I17</f>
        <v>按面积比例</v>
      </c>
      <c r="U4" s="2272" t="s">
        <v>1963</v>
      </c>
      <c r="V4" s="2273"/>
      <c r="W4" s="2273"/>
      <c r="X4" s="2273"/>
      <c r="Y4" s="2275"/>
      <c r="Z4" s="2235" t="s">
        <v>1964</v>
      </c>
      <c r="AA4" s="2235"/>
      <c r="AB4" s="2235"/>
      <c r="AC4" s="2235"/>
      <c r="AD4" s="2235"/>
      <c r="AE4" s="2233" t="s">
        <v>1965</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1966</v>
      </c>
      <c r="B5" s="2281" t="s">
        <v>1967</v>
      </c>
      <c r="C5" s="2282" t="s">
        <v>1968</v>
      </c>
      <c r="D5" s="2283" t="s">
        <v>1969</v>
      </c>
      <c r="E5" s="1264" t="s">
        <v>1970</v>
      </c>
      <c r="F5" s="2284" t="s">
        <v>1971</v>
      </c>
      <c r="G5" s="1264" t="s">
        <v>1972</v>
      </c>
      <c r="H5" s="1264" t="s">
        <v>1973</v>
      </c>
      <c r="I5" s="1264" t="s">
        <v>1974</v>
      </c>
      <c r="J5" s="2285" t="s">
        <v>1975</v>
      </c>
      <c r="K5" s="2286" t="s">
        <v>1976</v>
      </c>
      <c r="L5" s="2287" t="s">
        <v>1977</v>
      </c>
      <c r="M5" s="2288" t="s">
        <v>1978</v>
      </c>
      <c r="N5" s="2289" t="s">
        <v>3158</v>
      </c>
      <c r="O5" s="2287" t="s">
        <v>1979</v>
      </c>
      <c r="P5" s="2290" t="s">
        <v>1980</v>
      </c>
      <c r="Q5" s="69" t="s">
        <v>1981</v>
      </c>
      <c r="R5" s="2291" t="s">
        <v>1982</v>
      </c>
      <c r="S5" s="2292" t="s">
        <v>1983</v>
      </c>
      <c r="T5" s="2293" t="s">
        <v>1984</v>
      </c>
      <c r="U5" s="1263" t="s">
        <v>1985</v>
      </c>
      <c r="V5" s="1264" t="s">
        <v>1986</v>
      </c>
      <c r="W5" s="1264" t="s">
        <v>1987</v>
      </c>
      <c r="X5" s="71"/>
      <c r="Y5" s="70" t="s">
        <v>1988</v>
      </c>
      <c r="Z5" s="2294" t="s">
        <v>1985</v>
      </c>
      <c r="AA5" s="1264" t="s">
        <v>1986</v>
      </c>
      <c r="AB5" s="1264" t="s">
        <v>1987</v>
      </c>
      <c r="AC5" s="71"/>
      <c r="AD5" s="71" t="s">
        <v>1988</v>
      </c>
      <c r="AE5" s="1263" t="s">
        <v>1989</v>
      </c>
      <c r="AF5" s="1264" t="s">
        <v>1990</v>
      </c>
      <c r="AG5" s="70" t="s">
        <v>1991</v>
      </c>
      <c r="AH5" s="1263" t="s">
        <v>1992</v>
      </c>
      <c r="AI5" s="2294" t="s">
        <v>1993</v>
      </c>
      <c r="AJ5" s="2294" t="s">
        <v>1994</v>
      </c>
      <c r="AK5" s="1264" t="s">
        <v>1995</v>
      </c>
      <c r="AL5" s="1264" t="s">
        <v>1996</v>
      </c>
      <c r="AM5" s="70" t="s">
        <v>1997</v>
      </c>
      <c r="AN5" s="2295" t="s">
        <v>1998</v>
      </c>
      <c r="AO5" s="2065" t="s">
        <v>1999</v>
      </c>
      <c r="AP5" s="1245" t="s">
        <v>2000</v>
      </c>
      <c r="AQ5" s="2296" t="s">
        <v>2001</v>
      </c>
      <c r="AR5" s="2296" t="s">
        <v>2002</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6" customFormat="1" ht="14.25">
      <c r="A6" s="2297" t="str">
        <f>'数据-汇总表'!C19</f>
        <v>9号楼、10号楼部分商业用房</v>
      </c>
      <c r="B6" s="2298" t="str">
        <f>IF(A6=0,"","经营性")</f>
        <v>经营性</v>
      </c>
      <c r="C6" s="2299" t="s">
        <v>1369</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79">
        <f>ROUND(租约!D12*((1+AA6)^AF6),2)</f>
        <v>5.98</v>
      </c>
      <c r="AA6" s="74">
        <f>V7</f>
        <v>0.02</v>
      </c>
      <c r="AB6" s="74">
        <f>W7</f>
        <v>0.1</v>
      </c>
      <c r="AC6" s="1257"/>
      <c r="AD6" s="82">
        <v>0.65</v>
      </c>
      <c r="AE6" s="1258">
        <f ca="1">IF(AN6="",0,SUMIF(INDIRECT("'"&amp;AN6&amp;"'"&amp;"!E:E"),$AE$5,INDIRECT("'"&amp;AN6&amp;"'"&amp;"!F:F")))</f>
        <v>24.97</v>
      </c>
      <c r="AF6" s="1799">
        <v>9.07</v>
      </c>
      <c r="AG6" s="147">
        <f ca="1">IF(AF6="",0,AE6-AF6)</f>
        <v>15.899999999999999</v>
      </c>
      <c r="AH6" s="83"/>
      <c r="AI6" s="85">
        <v>365</v>
      </c>
      <c r="AJ6" s="86"/>
      <c r="AK6" s="87">
        <v>1.4999999999999999E-2</v>
      </c>
      <c r="AL6" s="88">
        <v>1.5E-3</v>
      </c>
      <c r="AM6" s="89">
        <v>0.02</v>
      </c>
      <c r="AN6" s="2300" t="s">
        <v>3159</v>
      </c>
      <c r="AO6" s="55">
        <f ca="1">SUMIF(INDIRECT("'"&amp;AN6&amp;"'"&amp;"!A:A"),"总价",INDIRECT("'"&amp;AN6&amp;"'"&amp;"!B:B"))</f>
        <v>5962</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c r="A7" s="2297" t="str">
        <f>'数据-汇总表'!C20</f>
        <v>地下商业</v>
      </c>
      <c r="B7" s="2298" t="str">
        <f t="shared" ref="B7:B13" si="1">IF(A7=0,"","经营性")</f>
        <v>经营性</v>
      </c>
      <c r="C7" s="2299" t="s">
        <v>1369</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030">
        <v>0.02</v>
      </c>
      <c r="W7" s="3016">
        <v>0.1</v>
      </c>
      <c r="X7" s="1257"/>
      <c r="Y7" s="80">
        <f>Y6</f>
        <v>0.8</v>
      </c>
      <c r="Z7" s="81"/>
      <c r="AA7" s="74"/>
      <c r="AB7" s="74"/>
      <c r="AC7" s="1257"/>
      <c r="AD7" s="82"/>
      <c r="AE7" s="1258">
        <f t="shared" ref="AE7:AE13" ca="1" si="6">IF(AN7="",0,SUMIF(INDIRECT("'"&amp;AN7&amp;"'"&amp;"!E:E"),$AE$5,INDIRECT("'"&amp;AN7&amp;"'"&amp;"!F:F")))</f>
        <v>24.97</v>
      </c>
      <c r="AF7" s="1799"/>
      <c r="AG7" s="147">
        <f t="shared" ref="AG7:AG13" si="7">IF(AF7="",0,AE7-AF7)</f>
        <v>0</v>
      </c>
      <c r="AH7" s="83"/>
      <c r="AI7" s="85">
        <v>365</v>
      </c>
      <c r="AJ7" s="86"/>
      <c r="AK7" s="87">
        <f>AK6</f>
        <v>1.4999999999999999E-2</v>
      </c>
      <c r="AL7" s="88">
        <f>AL6</f>
        <v>1.5E-3</v>
      </c>
      <c r="AM7" s="89">
        <f>AM6</f>
        <v>0.02</v>
      </c>
      <c r="AN7" s="2300" t="s">
        <v>3207</v>
      </c>
      <c r="AO7" s="55">
        <f t="shared" ref="AO7:AO13" ca="1" si="8">SUMIF(INDIRECT("'"&amp;AN7&amp;"'"&amp;"!A:A"),"总价",INDIRECT("'"&amp;AN7&amp;"'"&amp;"!B:B"))</f>
        <v>24</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c r="A8" s="2297">
        <f>'数据-汇总表'!C21</f>
        <v>0</v>
      </c>
      <c r="B8" s="2298" t="str">
        <f t="shared" si="1"/>
        <v/>
      </c>
      <c r="C8" s="2299"/>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799"/>
      <c r="AG8" s="147">
        <f t="shared" si="7"/>
        <v>0</v>
      </c>
      <c r="AH8" s="804"/>
      <c r="AI8" s="85"/>
      <c r="AJ8" s="86"/>
      <c r="AK8" s="805"/>
      <c r="AL8" s="806"/>
      <c r="AM8" s="807"/>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c r="A9" s="2297">
        <f>'数据-汇总表'!C22</f>
        <v>0</v>
      </c>
      <c r="B9" s="2298" t="str">
        <f t="shared" si="1"/>
        <v/>
      </c>
      <c r="C9" s="2299"/>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c r="A10" s="2297">
        <f>'数据-汇总表'!C23</f>
        <v>0</v>
      </c>
      <c r="B10" s="2298" t="str">
        <f t="shared" si="1"/>
        <v/>
      </c>
      <c r="C10" s="2299"/>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c r="A11" s="2297">
        <f>'数据-汇总表'!C24</f>
        <v>0</v>
      </c>
      <c r="B11" s="2298" t="str">
        <f t="shared" si="1"/>
        <v/>
      </c>
      <c r="C11" s="2299"/>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c r="A12" s="2297">
        <f>'数据-汇总表'!C25</f>
        <v>0</v>
      </c>
      <c r="B12" s="2298" t="str">
        <f t="shared" si="1"/>
        <v/>
      </c>
      <c r="C12" s="2299"/>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c r="A13" s="2297">
        <f>'数据-汇总表'!C26</f>
        <v>0</v>
      </c>
      <c r="B13" s="2298" t="str">
        <f t="shared" si="1"/>
        <v/>
      </c>
      <c r="C13" s="2299"/>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2003</v>
      </c>
      <c r="B14" s="2298" t="s">
        <v>2004</v>
      </c>
      <c r="C14" s="2303" t="s">
        <v>2003</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0"/>
      <c r="AJ14" s="769"/>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2005</v>
      </c>
      <c r="B15" s="2298" t="s">
        <v>2004</v>
      </c>
      <c r="C15" s="2303" t="s">
        <v>2006</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0"/>
      <c r="AJ15" s="769"/>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2007</v>
      </c>
      <c r="B16" s="97"/>
      <c r="C16" s="1001"/>
      <c r="D16" s="2305"/>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8"/>
      <c r="C17" s="1577"/>
      <c r="D17" s="2264"/>
      <c r="E17" s="2264"/>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1"/>
      <c r="C18" s="2268"/>
      <c r="D18" s="2269"/>
      <c r="E18" s="2268"/>
      <c r="F18" s="2268"/>
      <c r="G18" s="2268"/>
      <c r="H18" s="2268"/>
      <c r="I18" s="2268"/>
      <c r="J18" s="2268"/>
      <c r="K18" s="168"/>
      <c r="L18" s="168"/>
      <c r="M18" s="1577"/>
      <c r="N18" s="1577">
        <f>1-(2019-2007)/60</f>
        <v>0.8</v>
      </c>
      <c r="O18" s="1577"/>
      <c r="P18" s="1577"/>
      <c r="Q18" s="1577"/>
      <c r="R18" s="1577"/>
      <c r="S18" s="1577"/>
      <c r="T18" s="1577"/>
      <c r="U18" s="1577"/>
      <c r="V18" s="1577"/>
      <c r="W18" s="1577"/>
      <c r="X18" s="2265"/>
      <c r="Y18" s="1577"/>
      <c r="Z18" s="1577"/>
      <c r="AA18" s="1577"/>
      <c r="AB18" s="1577"/>
      <c r="AC18" s="1577"/>
      <c r="AD18" s="1577">
        <f>1-(2028-2007)/60</f>
        <v>0.65</v>
      </c>
      <c r="AE18" s="1577"/>
      <c r="AF18" s="1577"/>
      <c r="AG18" s="1577"/>
      <c r="AH18" s="1577"/>
      <c r="AI18" s="1577"/>
      <c r="AJ18" s="1577"/>
      <c r="AK18" s="1577"/>
      <c r="AL18" s="1577"/>
      <c r="AM18" s="1577"/>
    </row>
    <row r="19" spans="1:67" ht="14.25">
      <c r="A19" s="2307" t="s">
        <v>2009</v>
      </c>
      <c r="B19" s="112">
        <v>0</v>
      </c>
      <c r="C19" s="2268" t="s">
        <v>2010</v>
      </c>
      <c r="D19" s="2269"/>
      <c r="E19" s="2268"/>
      <c r="F19" s="2268"/>
      <c r="G19" s="2268"/>
      <c r="H19" s="2268"/>
      <c r="I19" s="2268"/>
      <c r="J19" s="2268"/>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2011</v>
      </c>
      <c r="B20" s="113">
        <v>2</v>
      </c>
      <c r="C20" s="2268" t="s">
        <v>2012</v>
      </c>
      <c r="D20" s="2269"/>
      <c r="E20" s="2268"/>
      <c r="F20" s="2268"/>
      <c r="G20" s="2268"/>
      <c r="H20" s="2268"/>
      <c r="I20" s="2268"/>
      <c r="J20" s="2268"/>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2013</v>
      </c>
      <c r="B21" s="113">
        <v>2</v>
      </c>
      <c r="C21" s="2268"/>
      <c r="D21" s="2269"/>
      <c r="E21" s="2268"/>
      <c r="F21" s="2268"/>
      <c r="G21" s="2268"/>
      <c r="H21" s="2268"/>
      <c r="I21" s="2268"/>
      <c r="J21" s="2268"/>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2014</v>
      </c>
      <c r="B22" s="114">
        <f>B19+B20</f>
        <v>2</v>
      </c>
      <c r="C22" s="2268"/>
      <c r="D22" s="2269"/>
      <c r="E22" s="2268"/>
      <c r="F22" s="2268"/>
      <c r="G22" s="2268"/>
      <c r="H22" s="2268"/>
      <c r="I22" s="2268"/>
      <c r="J22" s="2268"/>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2015</v>
      </c>
      <c r="B23" s="114">
        <f>B19+B21</f>
        <v>2</v>
      </c>
      <c r="C23" s="2268"/>
      <c r="D23" s="2269"/>
      <c r="E23" s="2268"/>
      <c r="F23" s="2268"/>
      <c r="G23" s="2268"/>
      <c r="H23" s="2268"/>
      <c r="I23" s="2268"/>
      <c r="J23" s="2268"/>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2016</v>
      </c>
      <c r="B24" s="115">
        <f>B20-B21</f>
        <v>0</v>
      </c>
      <c r="C24" s="2268"/>
      <c r="D24" s="2269"/>
      <c r="E24" s="2268"/>
      <c r="F24" s="2268"/>
      <c r="G24" s="2268"/>
      <c r="H24" s="2268"/>
      <c r="I24" s="2268"/>
      <c r="J24" s="2268"/>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1"/>
      <c r="C25" s="2268"/>
      <c r="D25" s="2269"/>
      <c r="E25" s="2268"/>
      <c r="F25" s="2268"/>
      <c r="G25" s="2268"/>
      <c r="H25" s="2268"/>
      <c r="I25" s="2268"/>
      <c r="J25" s="2268"/>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2017</v>
      </c>
      <c r="B26" s="2311" t="s">
        <v>2018</v>
      </c>
      <c r="C26" s="2312" t="s">
        <v>2019</v>
      </c>
      <c r="D26" s="2269"/>
      <c r="E26" s="2268"/>
      <c r="F26" s="2268"/>
      <c r="G26" s="2268"/>
      <c r="H26" s="2268"/>
      <c r="I26" s="2268"/>
      <c r="J26" s="2268"/>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2020</v>
      </c>
      <c r="B27" s="116">
        <v>160</v>
      </c>
      <c r="C27" s="1759" t="s">
        <v>2021</v>
      </c>
      <c r="D27" s="2314"/>
      <c r="E27" s="1423"/>
      <c r="F27" s="1423"/>
      <c r="G27" s="2268"/>
      <c r="H27" s="2268"/>
      <c r="I27" s="2268"/>
      <c r="J27" s="2268"/>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5" customFormat="1" ht="27.75">
      <c r="A28" s="2316" t="s">
        <v>2022</v>
      </c>
      <c r="B28" s="119">
        <v>200</v>
      </c>
      <c r="C28" s="2317"/>
      <c r="D28" s="2314"/>
      <c r="E28" s="1423"/>
      <c r="F28" s="1423"/>
      <c r="G28" s="2268"/>
      <c r="H28" s="2268"/>
      <c r="I28" s="2268"/>
      <c r="J28" s="2268"/>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5" customFormat="1" ht="28.5" thickBot="1">
      <c r="A29" s="2318" t="s">
        <v>2023</v>
      </c>
      <c r="B29" s="121"/>
      <c r="C29" s="1759" t="s">
        <v>2024</v>
      </c>
      <c r="D29" s="2314"/>
      <c r="E29" s="1423"/>
      <c r="F29" s="1423"/>
      <c r="G29" s="2268"/>
      <c r="H29" s="2268"/>
      <c r="I29" s="2268" t="s">
        <v>3157</v>
      </c>
      <c r="J29" s="2268"/>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5" customFormat="1" ht="27">
      <c r="A30" s="2319" t="s">
        <v>2025</v>
      </c>
      <c r="B30" s="720">
        <v>200</v>
      </c>
      <c r="C30" s="2317"/>
      <c r="D30" s="2314"/>
      <c r="E30" s="1423"/>
      <c r="F30" s="1423"/>
      <c r="G30" s="2268"/>
      <c r="H30" s="2268"/>
      <c r="I30" s="2268"/>
      <c r="J30" s="2268"/>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5" customFormat="1" ht="27">
      <c r="A31" s="2316" t="s">
        <v>2026</v>
      </c>
      <c r="B31" s="120">
        <f>B30-B32</f>
        <v>200</v>
      </c>
      <c r="C31" s="1759"/>
      <c r="D31" s="2314"/>
      <c r="E31" s="1423"/>
      <c r="F31" s="1423"/>
      <c r="G31" s="2268"/>
      <c r="H31" s="2268"/>
      <c r="I31" s="2268"/>
      <c r="J31" s="2268"/>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5" customFormat="1" ht="27.75" thickBot="1">
      <c r="A32" s="2320" t="s">
        <v>2027</v>
      </c>
      <c r="B32" s="721">
        <v>0</v>
      </c>
      <c r="C32" s="2317"/>
      <c r="D32" s="2269"/>
      <c r="E32" s="2268"/>
      <c r="F32" s="2268"/>
      <c r="G32" s="2268"/>
      <c r="H32" s="2268"/>
      <c r="I32" s="2268"/>
      <c r="J32" s="2268"/>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5" customFormat="1" ht="14.25">
      <c r="A33" s="2313" t="s">
        <v>2028</v>
      </c>
      <c r="B33" s="722">
        <v>0.03</v>
      </c>
      <c r="C33" s="1758" t="s">
        <v>2029</v>
      </c>
      <c r="D33" s="2269"/>
      <c r="E33" s="2268"/>
      <c r="F33" s="2268"/>
      <c r="G33" s="2268"/>
      <c r="H33" s="2268"/>
      <c r="I33" s="2268"/>
      <c r="J33" s="2268"/>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5" customFormat="1" ht="14.25">
      <c r="A34" s="2316" t="s">
        <v>2030</v>
      </c>
      <c r="B34" s="122">
        <v>0</v>
      </c>
      <c r="C34" s="1758" t="s">
        <v>2031</v>
      </c>
      <c r="D34" s="2269" t="s">
        <v>2032</v>
      </c>
      <c r="E34" s="728"/>
      <c r="F34" s="2268"/>
      <c r="G34" s="2268"/>
      <c r="H34" s="2268"/>
      <c r="I34" s="2268"/>
      <c r="J34" s="2268"/>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5" customFormat="1" ht="14.25">
      <c r="A35" s="2316" t="s">
        <v>2033</v>
      </c>
      <c r="B35" s="119">
        <v>200</v>
      </c>
      <c r="C35" s="1758" t="s">
        <v>2034</v>
      </c>
      <c r="D35" s="2314"/>
      <c r="E35" s="1423"/>
      <c r="F35" s="1423"/>
      <c r="G35" s="2268"/>
      <c r="H35" s="2268"/>
      <c r="I35" s="2268"/>
      <c r="J35" s="2268"/>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8" t="s">
        <v>2035</v>
      </c>
      <c r="B36" s="123">
        <v>1.4999999999999999E-2</v>
      </c>
      <c r="C36" s="1758" t="s">
        <v>2036</v>
      </c>
      <c r="D36" s="2269"/>
      <c r="E36" s="2268"/>
      <c r="F36" s="2268"/>
      <c r="G36" s="2268"/>
      <c r="H36" s="2268"/>
      <c r="I36" s="2268"/>
      <c r="J36" s="2268"/>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2037</v>
      </c>
      <c r="B37" s="124">
        <v>0.02</v>
      </c>
      <c r="C37" s="1758" t="s">
        <v>2038</v>
      </c>
      <c r="D37" s="2269"/>
      <c r="E37" s="2268"/>
      <c r="F37" s="2268"/>
      <c r="G37" s="2268"/>
      <c r="H37" s="2268"/>
      <c r="I37" s="2268"/>
      <c r="J37" s="2268"/>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2039</v>
      </c>
      <c r="B38" s="122">
        <v>0.02</v>
      </c>
      <c r="C38" s="1758" t="s">
        <v>2038</v>
      </c>
      <c r="D38" s="2269"/>
      <c r="E38" s="2268"/>
      <c r="F38" s="2268"/>
      <c r="G38" s="2268"/>
      <c r="H38" s="2268"/>
      <c r="I38" s="2268"/>
      <c r="J38" s="2268"/>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2040</v>
      </c>
      <c r="B39" s="362">
        <f ca="1">存贷款利率!I1</f>
        <v>1.4999999999999999E-2</v>
      </c>
      <c r="C39" s="1758"/>
      <c r="D39" s="2269"/>
      <c r="E39" s="2268"/>
      <c r="F39" s="2268"/>
      <c r="G39" s="2268"/>
      <c r="H39" s="2268"/>
      <c r="I39" s="2268"/>
      <c r="J39" s="2268"/>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2041</v>
      </c>
      <c r="B40" s="1296">
        <f ca="1">存贷款利率!G1</f>
        <v>4.7500000000000001E-2</v>
      </c>
      <c r="C40" s="1758" t="s">
        <v>2042</v>
      </c>
      <c r="D40" s="1577"/>
      <c r="E40" s="2269"/>
      <c r="F40" s="2268"/>
      <c r="G40" s="2268"/>
      <c r="H40" s="2268"/>
      <c r="I40" s="2268"/>
      <c r="J40" s="2268"/>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2043</v>
      </c>
      <c r="B41" s="125">
        <f>B42+B43</f>
        <v>5.6000000000000001E-2</v>
      </c>
      <c r="C41" s="1759"/>
      <c r="D41" s="1577"/>
      <c r="E41" s="2269"/>
      <c r="F41" s="2268"/>
      <c r="G41" s="2268"/>
      <c r="H41" s="2268"/>
      <c r="I41" s="2268"/>
      <c r="J41" s="2268"/>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2044</v>
      </c>
      <c r="B42" s="126">
        <v>0.05</v>
      </c>
      <c r="C42" s="2322">
        <f>IF(B2&lt;DATE(2016,5,1),0,B42)</f>
        <v>0.05</v>
      </c>
      <c r="D42" s="2269"/>
      <c r="E42" s="2268"/>
      <c r="F42" s="2268"/>
      <c r="G42" s="2268"/>
      <c r="H42" s="2268"/>
      <c r="I42" s="2268"/>
      <c r="J42" s="2268"/>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2045</v>
      </c>
      <c r="B43" s="127">
        <f>B42*(B44+B45+B46)+B47</f>
        <v>6.000000000000001E-3</v>
      </c>
      <c r="C43" s="1759"/>
      <c r="D43" s="2269"/>
      <c r="E43" s="2268"/>
      <c r="F43" s="2268"/>
      <c r="G43" s="2268"/>
      <c r="H43" s="2268"/>
      <c r="I43" s="2268"/>
      <c r="J43" s="2268"/>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2046</v>
      </c>
      <c r="B44" s="128">
        <v>7.0000000000000007E-2</v>
      </c>
      <c r="C44" s="1758" t="s">
        <v>2047</v>
      </c>
      <c r="D44" s="2269"/>
      <c r="E44" s="2268"/>
      <c r="F44" s="2268"/>
      <c r="G44" s="2268"/>
      <c r="H44" s="2268"/>
      <c r="I44" s="2268"/>
      <c r="J44" s="2268"/>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2048</v>
      </c>
      <c r="B45" s="126">
        <v>0.03</v>
      </c>
      <c r="C45" s="1759" t="s">
        <v>2049</v>
      </c>
      <c r="D45" s="2269"/>
      <c r="E45" s="2268"/>
      <c r="F45" s="2268"/>
      <c r="G45" s="2268"/>
      <c r="H45" s="2268"/>
      <c r="I45" s="2268"/>
      <c r="J45" s="2268"/>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2050</v>
      </c>
      <c r="B46" s="126">
        <v>0.02</v>
      </c>
      <c r="C46" s="1759" t="s">
        <v>2051</v>
      </c>
      <c r="D46" s="2269"/>
      <c r="E46" s="2268"/>
      <c r="F46" s="2268"/>
      <c r="G46" s="2268"/>
      <c r="H46" s="2268"/>
      <c r="I46" s="2268"/>
      <c r="J46" s="2268"/>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2052</v>
      </c>
      <c r="B47" s="129"/>
      <c r="C47" s="1759" t="s">
        <v>2053</v>
      </c>
      <c r="D47" s="2269"/>
      <c r="E47" s="2268"/>
      <c r="F47" s="2268"/>
      <c r="G47" s="2268"/>
      <c r="H47" s="2268"/>
      <c r="I47" s="2268"/>
      <c r="J47" s="2268"/>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2054</v>
      </c>
      <c r="B48" s="130">
        <v>0.03</v>
      </c>
      <c r="C48" s="1766" t="s">
        <v>2055</v>
      </c>
      <c r="D48" s="2269"/>
      <c r="E48" s="2268"/>
      <c r="F48" s="2268"/>
      <c r="G48" s="2268"/>
      <c r="H48" s="2268"/>
      <c r="I48" s="2268"/>
      <c r="J48" s="2268"/>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2056</v>
      </c>
      <c r="B49" s="126">
        <v>5.0000000000000001E-4</v>
      </c>
      <c r="C49" s="1766" t="s">
        <v>2057</v>
      </c>
      <c r="D49" s="2269"/>
      <c r="E49" s="2268"/>
      <c r="F49" s="2268"/>
      <c r="G49" s="2268"/>
      <c r="H49" s="2268"/>
      <c r="I49" s="2268"/>
      <c r="J49" s="2268"/>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2058</v>
      </c>
      <c r="B50" s="131">
        <v>1.2E-2</v>
      </c>
      <c r="C50" s="1423"/>
      <c r="D50" s="2269"/>
      <c r="E50" s="2268"/>
      <c r="F50" s="2268"/>
      <c r="G50" s="2268"/>
      <c r="H50" s="2268"/>
      <c r="I50" s="2268"/>
      <c r="J50" s="2268"/>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2059</v>
      </c>
      <c r="B51" s="132">
        <v>0.12</v>
      </c>
      <c r="C51" s="1423"/>
      <c r="D51" s="2269"/>
      <c r="E51" s="2268"/>
      <c r="F51" s="2268"/>
      <c r="G51" s="2268"/>
      <c r="H51" s="2268"/>
      <c r="I51" s="2268"/>
      <c r="J51" s="2268"/>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2060</v>
      </c>
      <c r="B52" s="133">
        <f>SUMIF(A54:A63,B53,B54:B63)</f>
        <v>3</v>
      </c>
      <c r="C52" s="1423"/>
      <c r="D52" s="2269"/>
      <c r="E52" s="2268"/>
      <c r="F52" s="2268"/>
      <c r="G52" s="2268"/>
      <c r="H52" s="2268"/>
      <c r="I52" s="2268"/>
      <c r="J52" s="2268"/>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2061</v>
      </c>
      <c r="B53" s="2327" t="s">
        <v>523</v>
      </c>
      <c r="C53" s="1423" t="s">
        <v>2062</v>
      </c>
      <c r="D53" s="2328" t="s">
        <v>2063</v>
      </c>
      <c r="E53" s="2268"/>
      <c r="F53" s="2268"/>
      <c r="G53" s="2268"/>
      <c r="H53" s="2268"/>
      <c r="I53" s="2268"/>
      <c r="J53" s="2268"/>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2064</v>
      </c>
      <c r="B54" s="84"/>
      <c r="C54" s="1423">
        <v>30</v>
      </c>
      <c r="D54" s="2269"/>
      <c r="E54" s="2268"/>
      <c r="F54" s="2268"/>
      <c r="G54" s="2268"/>
      <c r="H54" s="2268"/>
      <c r="I54" s="2268"/>
      <c r="J54" s="2268"/>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2065</v>
      </c>
      <c r="B55" s="84"/>
      <c r="C55" s="1423">
        <v>24</v>
      </c>
      <c r="D55" s="2269"/>
      <c r="E55" s="2268"/>
      <c r="F55" s="2268"/>
      <c r="G55" s="2268"/>
      <c r="H55" s="2268"/>
      <c r="I55" s="2330"/>
      <c r="J55" s="2268"/>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2066</v>
      </c>
      <c r="B56" s="84"/>
      <c r="C56" s="1423">
        <v>18</v>
      </c>
      <c r="D56" s="2269"/>
      <c r="E56" s="2268"/>
      <c r="F56" s="2268"/>
      <c r="G56" s="2268"/>
      <c r="H56" s="2268"/>
      <c r="I56" s="2268"/>
      <c r="J56" s="2268"/>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2067</v>
      </c>
      <c r="B57" s="84"/>
      <c r="C57" s="1423">
        <v>12</v>
      </c>
      <c r="D57" s="2269"/>
      <c r="E57" s="2268"/>
      <c r="F57" s="2268"/>
      <c r="G57" s="2268"/>
      <c r="H57" s="2268"/>
      <c r="I57" s="2268"/>
      <c r="J57" s="2268"/>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2068</v>
      </c>
      <c r="B58" s="84">
        <v>3</v>
      </c>
      <c r="C58" s="1423">
        <v>3</v>
      </c>
      <c r="D58" s="2269"/>
      <c r="E58" s="2268"/>
      <c r="F58" s="2268"/>
      <c r="G58" s="2268"/>
      <c r="H58" s="2268"/>
      <c r="I58" s="2268"/>
      <c r="J58" s="2268"/>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2069</v>
      </c>
      <c r="B59" s="84"/>
      <c r="C59" s="1423">
        <v>1.5</v>
      </c>
      <c r="D59" s="2269"/>
      <c r="E59" s="2268"/>
      <c r="F59" s="2268"/>
      <c r="G59" s="2268"/>
      <c r="H59" s="2268"/>
      <c r="I59" s="2268"/>
      <c r="J59" s="2268"/>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2070</v>
      </c>
      <c r="B60" s="84"/>
      <c r="C60" s="2268"/>
      <c r="D60" s="2269"/>
      <c r="E60" s="2268"/>
      <c r="F60" s="2268"/>
      <c r="G60" s="2268"/>
      <c r="H60" s="2268"/>
      <c r="I60" s="2268"/>
      <c r="J60" s="2268"/>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2071</v>
      </c>
      <c r="B61" s="84"/>
      <c r="C61" s="2268"/>
      <c r="D61" s="2269"/>
      <c r="E61" s="2268"/>
      <c r="F61" s="2268"/>
      <c r="G61" s="2268"/>
      <c r="H61" s="2268"/>
      <c r="I61" s="2268"/>
      <c r="J61" s="2268"/>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2072</v>
      </c>
      <c r="B62" s="84"/>
      <c r="C62" s="2268"/>
      <c r="D62" s="2269"/>
      <c r="E62" s="2268"/>
      <c r="F62" s="2268"/>
      <c r="G62" s="2268"/>
      <c r="H62" s="2268"/>
      <c r="I62" s="2268"/>
      <c r="J62" s="2268"/>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2073</v>
      </c>
      <c r="B63" s="134"/>
      <c r="C63" s="2268"/>
      <c r="D63" s="2269"/>
      <c r="E63" s="2268"/>
      <c r="F63" s="2268"/>
      <c r="G63" s="2268"/>
      <c r="H63" s="2268"/>
      <c r="I63" s="2268"/>
      <c r="J63" s="2268"/>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2"/>
      <c r="D64" s="2333"/>
      <c r="K64" s="794"/>
      <c r="L64" s="794"/>
    </row>
    <row r="65" spans="1:12" s="960" customFormat="1">
      <c r="A65" s="2332"/>
      <c r="D65" s="2333"/>
      <c r="K65" s="794"/>
      <c r="L65" s="794"/>
    </row>
    <row r="66" spans="1:12" s="960" customFormat="1">
      <c r="A66" s="2332"/>
      <c r="D66" s="2333"/>
      <c r="K66" s="794"/>
      <c r="L66" s="794"/>
    </row>
    <row r="67" spans="1:12" s="960" customFormat="1">
      <c r="A67" s="2332"/>
      <c r="D67" s="2333"/>
      <c r="K67" s="794"/>
      <c r="L67" s="794"/>
    </row>
    <row r="68" spans="1:12" s="960" customFormat="1">
      <c r="A68" s="2332"/>
      <c r="D68" s="2333"/>
      <c r="K68" s="794"/>
      <c r="L68" s="794"/>
    </row>
    <row r="69" spans="1:12" s="960" customFormat="1">
      <c r="A69" s="2332"/>
      <c r="D69" s="2333"/>
      <c r="K69" s="794"/>
      <c r="L69" s="794"/>
    </row>
    <row r="70" spans="1:12" s="960" customFormat="1">
      <c r="A70" s="2332"/>
      <c r="D70" s="2333"/>
      <c r="K70" s="794"/>
      <c r="L70" s="794"/>
    </row>
    <row r="71" spans="1:12" s="960" customFormat="1">
      <c r="A71" s="2332"/>
      <c r="D71" s="2333"/>
      <c r="K71" s="794"/>
      <c r="L71" s="794"/>
    </row>
    <row r="72" spans="1:12" s="960" customFormat="1">
      <c r="A72" s="2332"/>
      <c r="D72" s="2333"/>
      <c r="K72" s="794"/>
      <c r="L72" s="794"/>
    </row>
    <row r="73" spans="1:12" s="960" customFormat="1">
      <c r="A73" s="2332"/>
      <c r="D73" s="2333"/>
      <c r="K73" s="794"/>
      <c r="L73" s="794"/>
    </row>
    <row r="74" spans="1:12" s="960" customFormat="1">
      <c r="A74" s="2332"/>
      <c r="D74" s="2333"/>
      <c r="K74" s="794"/>
      <c r="L74" s="794"/>
    </row>
    <row r="75" spans="1:12" s="960" customFormat="1">
      <c r="A75" s="2332"/>
      <c r="D75" s="2333"/>
      <c r="K75" s="794"/>
      <c r="L75" s="794"/>
    </row>
    <row r="76" spans="1:12" s="960" customFormat="1">
      <c r="A76" s="2332"/>
      <c r="D76" s="2333"/>
      <c r="K76" s="794"/>
      <c r="L76" s="794"/>
    </row>
    <row r="77" spans="1:12" s="960" customFormat="1">
      <c r="A77" s="2332"/>
      <c r="D77" s="2333"/>
      <c r="K77" s="794"/>
      <c r="L77" s="794"/>
    </row>
    <row r="78" spans="1:12" s="960" customFormat="1">
      <c r="A78" s="2332"/>
      <c r="D78" s="2333"/>
      <c r="K78" s="794"/>
      <c r="L78" s="794"/>
    </row>
    <row r="79" spans="1:12" s="960" customFormat="1">
      <c r="A79" s="2332"/>
      <c r="D79" s="2333"/>
      <c r="K79" s="794"/>
      <c r="L79" s="794"/>
    </row>
    <row r="80" spans="1:12" s="960" customFormat="1">
      <c r="A80" s="2332"/>
      <c r="D80" s="2333"/>
      <c r="K80" s="794"/>
      <c r="L80" s="794"/>
    </row>
    <row r="81" spans="1:12" s="960" customFormat="1">
      <c r="A81" s="2332"/>
      <c r="D81" s="2333"/>
      <c r="K81" s="794"/>
      <c r="L81" s="794"/>
    </row>
    <row r="82" spans="1:12" s="960" customFormat="1">
      <c r="A82" s="2332"/>
      <c r="D82" s="2333"/>
      <c r="K82" s="794"/>
      <c r="L82" s="794"/>
    </row>
    <row r="83" spans="1:12" s="960" customFormat="1">
      <c r="A83" s="2332"/>
      <c r="D83" s="2333"/>
      <c r="K83" s="794"/>
      <c r="L83" s="794"/>
    </row>
    <row r="84" spans="1:12" s="960" customFormat="1">
      <c r="A84" s="2332"/>
      <c r="D84" s="2333"/>
      <c r="K84" s="794"/>
      <c r="L84" s="794"/>
    </row>
    <row r="85" spans="1:12" s="960" customFormat="1">
      <c r="A85" s="2332"/>
      <c r="D85" s="2333"/>
      <c r="K85" s="794"/>
      <c r="L85" s="794"/>
    </row>
    <row r="86" spans="1:12" s="960" customFormat="1">
      <c r="A86" s="2332"/>
      <c r="D86" s="2333"/>
      <c r="K86" s="794"/>
      <c r="L86" s="794"/>
    </row>
    <row r="87" spans="1:12" s="960" customFormat="1">
      <c r="A87" s="2332"/>
      <c r="D87" s="2333"/>
      <c r="K87" s="794"/>
      <c r="L87" s="794"/>
    </row>
    <row r="88" spans="1:12" s="960" customFormat="1">
      <c r="A88" s="2332"/>
      <c r="D88" s="2333"/>
      <c r="K88" s="794"/>
      <c r="L88" s="794"/>
    </row>
    <row r="89" spans="1:12" s="960" customFormat="1">
      <c r="A89" s="2332"/>
      <c r="D89" s="2333"/>
      <c r="K89" s="794"/>
      <c r="L89" s="794"/>
    </row>
    <row r="90" spans="1:12" s="960" customFormat="1">
      <c r="A90" s="2332"/>
      <c r="D90" s="2333"/>
      <c r="K90" s="794"/>
      <c r="L90" s="794"/>
    </row>
    <row r="91" spans="1:12" s="960" customFormat="1">
      <c r="A91" s="2332"/>
      <c r="D91" s="2333"/>
      <c r="K91" s="794"/>
      <c r="L91" s="794"/>
    </row>
    <row r="92" spans="1:12" s="960" customFormat="1">
      <c r="A92" s="2332"/>
      <c r="D92" s="2333"/>
      <c r="K92" s="794"/>
      <c r="L92" s="794"/>
    </row>
    <row r="93" spans="1:12" s="960" customFormat="1">
      <c r="A93" s="2332"/>
      <c r="D93" s="2333"/>
      <c r="K93" s="794"/>
      <c r="L93" s="794"/>
    </row>
    <row r="94" spans="1:12" s="960" customFormat="1">
      <c r="A94" s="2332"/>
      <c r="D94" s="2333"/>
      <c r="K94" s="794"/>
      <c r="L94" s="794"/>
    </row>
    <row r="95" spans="1:12" s="960" customFormat="1">
      <c r="A95" s="2332"/>
      <c r="D95" s="2333"/>
      <c r="K95" s="794"/>
      <c r="L95" s="794"/>
    </row>
    <row r="96" spans="1:12" s="960" customFormat="1">
      <c r="A96" s="2332"/>
      <c r="D96" s="2333"/>
      <c r="K96" s="794"/>
      <c r="L96" s="794"/>
    </row>
    <row r="97" spans="1:12" s="960" customFormat="1">
      <c r="A97" s="2332"/>
      <c r="D97" s="2333"/>
      <c r="K97" s="794"/>
      <c r="L97" s="794"/>
    </row>
    <row r="98" spans="1:12" s="960" customFormat="1">
      <c r="A98" s="2332"/>
      <c r="D98" s="2333"/>
      <c r="K98" s="794"/>
      <c r="L98" s="794"/>
    </row>
    <row r="99" spans="1:12" s="960" customFormat="1">
      <c r="A99" s="2332"/>
      <c r="D99" s="2333"/>
      <c r="K99" s="794"/>
      <c r="L99" s="794"/>
    </row>
    <row r="100" spans="1:12" s="960" customFormat="1">
      <c r="A100" s="2332"/>
      <c r="D100" s="2333"/>
      <c r="K100" s="794"/>
      <c r="L100" s="794"/>
    </row>
    <row r="101" spans="1:12" s="960" customFormat="1">
      <c r="A101" s="2332"/>
      <c r="D101" s="2333"/>
      <c r="K101" s="794"/>
      <c r="L101" s="794"/>
    </row>
    <row r="102" spans="1:12" s="960" customFormat="1">
      <c r="A102" s="2332"/>
      <c r="D102" s="2333"/>
      <c r="K102" s="794"/>
      <c r="L102" s="794"/>
    </row>
    <row r="103" spans="1:12" s="960" customFormat="1">
      <c r="A103" s="2332"/>
      <c r="D103" s="2333"/>
      <c r="K103" s="794"/>
      <c r="L103" s="794"/>
    </row>
    <row r="104" spans="1:12" s="960" customFormat="1">
      <c r="A104" s="2332"/>
      <c r="D104" s="2333"/>
      <c r="K104" s="794"/>
      <c r="L104" s="794"/>
    </row>
    <row r="105" spans="1:12" s="960" customFormat="1">
      <c r="A105" s="2332"/>
      <c r="D105" s="2333"/>
      <c r="K105" s="794"/>
      <c r="L105" s="794"/>
    </row>
    <row r="106" spans="1:12" s="960" customFormat="1">
      <c r="A106" s="2332"/>
      <c r="D106" s="2333"/>
      <c r="K106" s="794"/>
      <c r="L106" s="794"/>
    </row>
    <row r="107" spans="1:12" s="960" customFormat="1">
      <c r="A107" s="2332"/>
      <c r="D107" s="2333"/>
      <c r="K107" s="794"/>
      <c r="L107" s="794"/>
    </row>
    <row r="108" spans="1:12" s="960" customFormat="1">
      <c r="A108" s="2332"/>
      <c r="D108" s="2333"/>
      <c r="K108" s="794"/>
      <c r="L108" s="794"/>
    </row>
    <row r="109" spans="1:12" s="960" customFormat="1">
      <c r="A109" s="2332"/>
      <c r="D109" s="2333"/>
      <c r="K109" s="794"/>
      <c r="L109" s="794"/>
    </row>
    <row r="110" spans="1:12" s="960" customFormat="1">
      <c r="A110" s="2332"/>
      <c r="D110" s="2333"/>
      <c r="K110" s="794"/>
      <c r="L110" s="794"/>
    </row>
    <row r="111" spans="1:12" s="960" customFormat="1">
      <c r="A111" s="2332"/>
      <c r="D111" s="2333"/>
      <c r="K111" s="794"/>
      <c r="L111" s="794"/>
    </row>
    <row r="112" spans="1:12" s="960" customFormat="1">
      <c r="A112" s="2332"/>
      <c r="D112" s="2333"/>
      <c r="K112" s="794"/>
      <c r="L112" s="794"/>
    </row>
    <row r="113" spans="1:12" s="960" customFormat="1">
      <c r="A113" s="2332"/>
      <c r="D113" s="2333"/>
      <c r="K113" s="794"/>
      <c r="L113" s="794"/>
    </row>
    <row r="114" spans="1:12" s="960" customFormat="1">
      <c r="A114" s="2332"/>
      <c r="D114" s="2333"/>
      <c r="K114" s="794"/>
      <c r="L114" s="794"/>
    </row>
    <row r="115" spans="1:12" s="960" customFormat="1">
      <c r="A115" s="2332"/>
      <c r="D115" s="2333"/>
      <c r="K115" s="794"/>
      <c r="L115" s="794"/>
    </row>
    <row r="116" spans="1:12" s="960" customFormat="1">
      <c r="A116" s="2332"/>
      <c r="D116" s="2333"/>
      <c r="K116" s="794"/>
      <c r="L116" s="794"/>
    </row>
    <row r="117" spans="1:12" s="960" customFormat="1">
      <c r="A117" s="2332"/>
      <c r="D117" s="2333"/>
      <c r="K117" s="794"/>
      <c r="L117" s="794"/>
    </row>
    <row r="118" spans="1:12" s="960" customFormat="1">
      <c r="A118" s="2332"/>
      <c r="D118" s="2333"/>
      <c r="K118" s="794"/>
      <c r="L118" s="794"/>
    </row>
    <row r="119" spans="1:12" s="960" customFormat="1">
      <c r="A119" s="2332"/>
      <c r="D119" s="2333"/>
      <c r="K119" s="794"/>
      <c r="L119" s="794"/>
    </row>
    <row r="120" spans="1:12" s="960" customFormat="1">
      <c r="A120" s="2332"/>
      <c r="D120" s="2333"/>
      <c r="K120" s="794"/>
      <c r="L120" s="794"/>
    </row>
    <row r="121" spans="1:12" s="960" customFormat="1">
      <c r="A121" s="2332"/>
      <c r="D121" s="2333"/>
      <c r="K121" s="794"/>
      <c r="L121" s="794"/>
    </row>
    <row r="122" spans="1:12" s="960" customFormat="1">
      <c r="A122" s="2332"/>
      <c r="D122" s="2333"/>
      <c r="K122" s="794"/>
      <c r="L122" s="794"/>
    </row>
    <row r="123" spans="1:12" s="960" customFormat="1">
      <c r="A123" s="2332"/>
      <c r="D123" s="2333"/>
      <c r="K123" s="794"/>
      <c r="L123" s="794"/>
    </row>
    <row r="124" spans="1:12" s="960" customFormat="1">
      <c r="A124" s="2332"/>
      <c r="D124" s="2333"/>
      <c r="K124" s="794"/>
      <c r="L124" s="794"/>
    </row>
    <row r="125" spans="1:12" s="960" customFormat="1">
      <c r="A125" s="2332"/>
      <c r="D125" s="2333"/>
      <c r="K125" s="794"/>
      <c r="L125" s="794"/>
    </row>
    <row r="126" spans="1:12" s="960" customFormat="1">
      <c r="A126" s="2332"/>
      <c r="D126" s="2333"/>
      <c r="K126" s="794"/>
      <c r="L126" s="794"/>
    </row>
    <row r="127" spans="1:12" s="960" customFormat="1">
      <c r="A127" s="2332"/>
      <c r="D127" s="2333"/>
      <c r="K127" s="794"/>
      <c r="L127" s="794"/>
    </row>
    <row r="128" spans="1:12" s="960" customFormat="1">
      <c r="A128" s="2332"/>
      <c r="D128" s="2333"/>
      <c r="K128" s="794"/>
      <c r="L128" s="794"/>
    </row>
    <row r="129" spans="1:12" s="960" customFormat="1">
      <c r="A129" s="2332"/>
      <c r="D129" s="2333"/>
      <c r="K129" s="794"/>
      <c r="L129" s="794"/>
    </row>
    <row r="130" spans="1:12" s="960" customFormat="1">
      <c r="A130" s="2332"/>
      <c r="D130" s="2333"/>
      <c r="K130" s="794"/>
      <c r="L130" s="794"/>
    </row>
    <row r="131" spans="1:12" s="960" customFormat="1">
      <c r="A131" s="2332"/>
      <c r="D131" s="2333"/>
      <c r="K131" s="794"/>
      <c r="L131" s="794"/>
    </row>
    <row r="132" spans="1:12" s="960" customFormat="1">
      <c r="A132" s="2332"/>
      <c r="D132" s="2333"/>
      <c r="K132" s="794"/>
      <c r="L132" s="794"/>
    </row>
    <row r="133" spans="1:12" s="960" customFormat="1">
      <c r="A133" s="2332"/>
      <c r="D133" s="2333"/>
      <c r="K133" s="794"/>
      <c r="L133" s="794"/>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28" t="s">
        <v>2074</v>
      </c>
      <c r="B1" s="3129"/>
      <c r="C1" s="3129"/>
      <c r="D1" s="3129"/>
      <c r="E1" s="3129"/>
      <c r="F1" s="3129"/>
      <c r="G1" s="312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2075</v>
      </c>
      <c r="D2" s="2357"/>
      <c r="E2" s="2358"/>
      <c r="F2" s="2277"/>
      <c r="G2" s="2356" t="s">
        <v>2076</v>
      </c>
      <c r="H2" s="2359"/>
      <c r="I2" s="2359"/>
      <c r="J2" s="2359"/>
      <c r="K2" s="2359"/>
      <c r="L2" s="2359"/>
      <c r="M2" s="2359"/>
      <c r="N2" s="2359"/>
      <c r="O2" s="2359"/>
      <c r="P2" s="2359"/>
      <c r="Q2" s="2359"/>
      <c r="R2" s="2359"/>
    </row>
    <row r="3" spans="1:29" ht="54">
      <c r="A3" s="415" t="s">
        <v>2077</v>
      </c>
      <c r="B3" s="1264" t="s">
        <v>2078</v>
      </c>
      <c r="C3" s="2361" t="s">
        <v>2079</v>
      </c>
      <c r="D3" s="2362"/>
      <c r="E3" s="431" t="s">
        <v>2077</v>
      </c>
      <c r="F3" s="2363" t="s">
        <v>2080</v>
      </c>
      <c r="G3" s="2364" t="s">
        <v>2081</v>
      </c>
      <c r="H3" s="2359"/>
      <c r="I3" s="2359"/>
      <c r="J3" s="2359"/>
      <c r="K3" s="2359"/>
      <c r="L3" s="2359"/>
      <c r="M3" s="2359"/>
      <c r="N3" s="2359"/>
      <c r="O3" s="2359"/>
      <c r="P3" s="2359"/>
      <c r="Q3" s="2359"/>
      <c r="R3" s="2359"/>
    </row>
    <row r="4" spans="1:29" ht="41.25">
      <c r="A4" s="431"/>
      <c r="B4" s="1790" t="s">
        <v>2082</v>
      </c>
      <c r="C4" s="2365" t="s">
        <v>2083</v>
      </c>
      <c r="D4" s="2362"/>
      <c r="E4" s="2366"/>
      <c r="F4" s="42" t="s">
        <v>2084</v>
      </c>
      <c r="G4" s="2367" t="s">
        <v>2085</v>
      </c>
      <c r="H4" s="2359"/>
      <c r="I4" s="2359"/>
      <c r="J4" s="2359"/>
      <c r="K4" s="2359"/>
      <c r="L4" s="2359"/>
      <c r="M4" s="2359"/>
      <c r="N4" s="2359"/>
      <c r="O4" s="2359"/>
      <c r="P4" s="2359"/>
      <c r="Q4" s="2359"/>
      <c r="R4" s="2359"/>
    </row>
    <row r="5" spans="1:29" ht="41.25">
      <c r="A5" s="431"/>
      <c r="B5" s="1790" t="s">
        <v>2086</v>
      </c>
      <c r="C5" s="2365" t="s">
        <v>2087</v>
      </c>
      <c r="D5" s="2362"/>
      <c r="E5" s="2366"/>
      <c r="F5" s="1790" t="s">
        <v>2088</v>
      </c>
      <c r="G5" s="2367" t="s">
        <v>2089</v>
      </c>
      <c r="H5" s="2359"/>
      <c r="I5" s="2359"/>
      <c r="J5" s="2359"/>
      <c r="K5" s="2359"/>
      <c r="L5" s="2359"/>
      <c r="M5" s="2359"/>
      <c r="N5" s="2359"/>
      <c r="O5" s="2359"/>
      <c r="P5" s="2359"/>
      <c r="Q5" s="2359"/>
      <c r="R5" s="2359"/>
    </row>
    <row r="6" spans="1:29" ht="54">
      <c r="A6" s="431"/>
      <c r="B6" s="1790" t="s">
        <v>2090</v>
      </c>
      <c r="C6" s="2367" t="s">
        <v>2085</v>
      </c>
      <c r="D6" s="2362"/>
      <c r="E6" s="2366"/>
      <c r="F6" s="1790" t="s">
        <v>2091</v>
      </c>
      <c r="G6" s="2367" t="s">
        <v>2092</v>
      </c>
      <c r="H6" s="2359"/>
      <c r="I6" s="2359"/>
      <c r="J6" s="2359"/>
      <c r="K6" s="2359"/>
      <c r="L6" s="2359"/>
      <c r="M6" s="2359"/>
      <c r="N6" s="2359"/>
      <c r="O6" s="2359"/>
      <c r="P6" s="2359"/>
      <c r="Q6" s="2359"/>
      <c r="R6" s="2359"/>
    </row>
    <row r="7" spans="1:29" ht="41.25" thickBot="1">
      <c r="A7" s="431"/>
      <c r="B7" s="1790" t="s">
        <v>2088</v>
      </c>
      <c r="C7" s="2367" t="s">
        <v>2089</v>
      </c>
      <c r="D7" s="2368"/>
      <c r="E7" s="2369"/>
      <c r="F7" s="2370" t="s">
        <v>2093</v>
      </c>
      <c r="G7" s="2371" t="s">
        <v>2094</v>
      </c>
      <c r="H7" s="2359"/>
      <c r="I7" s="2359"/>
      <c r="J7" s="2359"/>
      <c r="K7" s="2359"/>
      <c r="L7" s="2359"/>
      <c r="M7" s="2359"/>
      <c r="N7" s="2359"/>
      <c r="O7" s="2359"/>
      <c r="P7" s="2359"/>
      <c r="Q7" s="2359"/>
      <c r="R7" s="2359"/>
    </row>
    <row r="8" spans="1:29" ht="27">
      <c r="A8" s="431"/>
      <c r="B8" s="1790" t="s">
        <v>2091</v>
      </c>
      <c r="C8" s="2367" t="s">
        <v>2092</v>
      </c>
      <c r="D8" s="2368"/>
      <c r="E8" s="2368"/>
      <c r="F8" s="1129"/>
      <c r="G8" s="1129"/>
      <c r="H8" s="2359"/>
      <c r="I8" s="2359"/>
      <c r="J8" s="2359"/>
      <c r="K8" s="2359"/>
      <c r="L8" s="2359"/>
      <c r="M8" s="2359"/>
      <c r="N8" s="2359"/>
      <c r="O8" s="2359"/>
      <c r="P8" s="2359"/>
      <c r="Q8" s="2359"/>
      <c r="R8" s="2359"/>
    </row>
    <row r="9" spans="1:29" ht="27">
      <c r="A9" s="431"/>
      <c r="B9" s="1790" t="s">
        <v>2095</v>
      </c>
      <c r="C9" s="2365" t="s">
        <v>2096</v>
      </c>
      <c r="D9" s="2362"/>
      <c r="E9" s="2368"/>
      <c r="F9" s="1129"/>
      <c r="G9" s="1129"/>
      <c r="H9" s="2359"/>
      <c r="I9" s="2359"/>
      <c r="J9" s="2359"/>
      <c r="K9" s="2359"/>
      <c r="L9" s="2359"/>
      <c r="M9" s="2359"/>
      <c r="N9" s="2359"/>
      <c r="O9" s="2359"/>
      <c r="P9" s="2359"/>
      <c r="Q9" s="2359"/>
      <c r="R9" s="2359"/>
    </row>
    <row r="10" spans="1:29" s="117" customFormat="1" ht="15.75" thickBot="1">
      <c r="A10" s="2372"/>
      <c r="B10" s="2373" t="s">
        <v>2097</v>
      </c>
      <c r="C10" s="2374"/>
      <c r="D10" s="2362"/>
      <c r="E10" s="2362"/>
      <c r="F10" s="1129"/>
      <c r="G10" s="1129"/>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47"/>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7"/>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2098</v>
      </c>
      <c r="B13" s="2379"/>
      <c r="C13" s="2379"/>
      <c r="D13" s="2386"/>
      <c r="E13" s="2379"/>
      <c r="F13" s="2379"/>
      <c r="G13" s="2379"/>
    </row>
    <row r="14" spans="1:29" ht="15.75" thickBot="1">
      <c r="A14" s="2390"/>
      <c r="B14" s="2391"/>
      <c r="C14" s="2392" t="s">
        <v>2099</v>
      </c>
      <c r="D14" s="2362"/>
      <c r="E14" s="2393"/>
      <c r="F14" s="2393"/>
      <c r="G14" s="2356" t="s">
        <v>2100</v>
      </c>
    </row>
    <row r="15" spans="1:29" ht="57">
      <c r="A15" s="68" t="s">
        <v>2101</v>
      </c>
      <c r="B15" s="1263" t="s">
        <v>2078</v>
      </c>
      <c r="C15" s="2394" t="str">
        <f>C3</f>
        <v>估价对象周边居住用地比例、居住小区规模和社区发展完善程度，综合评价居住社区成熟度一般</v>
      </c>
      <c r="D15" s="2362"/>
      <c r="E15" s="2395" t="s">
        <v>2102</v>
      </c>
      <c r="F15" s="1263" t="s">
        <v>2103</v>
      </c>
      <c r="G15" s="135" t="str">
        <f>G3</f>
        <v>估价对象位于XX开发区，园区建设成熟度XX，产业集聚程度XX</v>
      </c>
    </row>
    <row r="16" spans="1:29" ht="42.75">
      <c r="A16" s="644"/>
      <c r="B16" s="2396" t="s">
        <v>2082</v>
      </c>
      <c r="C16" s="2397" t="str">
        <f>C4</f>
        <v>估价对象位于XX商圈，周边商业氛围成熟，人流量大，商业繁华度好</v>
      </c>
      <c r="D16" s="2362"/>
      <c r="E16" s="2398"/>
      <c r="F16" s="2399" t="s">
        <v>2084</v>
      </c>
      <c r="G16" s="136" t="str">
        <f>G4</f>
        <v>估价对象周边道路状况、公共交通通达情况、停车便捷程度，综合评价交通便捷度较好</v>
      </c>
    </row>
    <row r="17" spans="1:18" ht="42.75">
      <c r="A17" s="644"/>
      <c r="B17" s="2396" t="s">
        <v>2086</v>
      </c>
      <c r="C17" s="2397" t="str">
        <f>C5</f>
        <v>估价对象位于XX商圈，周边办公楼项目较多，入驻率高，办公集聚程度较好</v>
      </c>
      <c r="D17" s="2368"/>
      <c r="E17" s="2398"/>
      <c r="F17" s="2399" t="s">
        <v>2104</v>
      </c>
      <c r="G17" s="1565"/>
    </row>
    <row r="18" spans="1:18" ht="57">
      <c r="A18" s="644"/>
      <c r="B18" s="2399" t="s">
        <v>2090</v>
      </c>
      <c r="C18" s="136" t="str">
        <f>C6</f>
        <v>估价对象周边道路状况、公共交通通达情况、停车便捷程度，综合评价交通便捷度较好</v>
      </c>
      <c r="D18" s="2368"/>
      <c r="E18" s="2398"/>
      <c r="F18" s="2399" t="s">
        <v>2093</v>
      </c>
      <c r="G18" s="136" t="str">
        <f>G7</f>
        <v>该园区内是否有污染型企业，绿化情况，卫生条件，整体环境状况判断</v>
      </c>
    </row>
    <row r="19" spans="1:18" ht="28.5">
      <c r="A19" s="644"/>
      <c r="B19" s="2399" t="s">
        <v>2105</v>
      </c>
      <c r="C19" s="1565"/>
      <c r="D19" s="2362"/>
      <c r="E19" s="2398"/>
      <c r="F19" s="1790" t="s">
        <v>2088</v>
      </c>
      <c r="G19" s="136" t="str">
        <f>G5</f>
        <v>估价对象所在区域公共配套设施齐备情况</v>
      </c>
    </row>
    <row r="20" spans="1:18" ht="28.5">
      <c r="A20" s="644"/>
      <c r="B20" s="2399" t="s">
        <v>2106</v>
      </c>
      <c r="C20" s="2397" t="str">
        <f>C9</f>
        <v>区域自然环境：；人文环境；综合评价环境状况一般</v>
      </c>
      <c r="D20" s="2368"/>
      <c r="E20" s="2398"/>
      <c r="F20" s="1790" t="s">
        <v>2107</v>
      </c>
      <c r="G20" s="136" t="str">
        <f>G6</f>
        <v>估价对象所在区域基础设施水平</v>
      </c>
    </row>
    <row r="21" spans="1:18" ht="28.5">
      <c r="A21" s="644"/>
      <c r="B21" s="1790" t="s">
        <v>2088</v>
      </c>
      <c r="C21" s="136" t="str">
        <f>C7</f>
        <v>估价对象所在区域公共配套设施齐备情况</v>
      </c>
      <c r="D21" s="2362"/>
      <c r="E21" s="2398"/>
      <c r="F21" s="2399" t="s">
        <v>2108</v>
      </c>
      <c r="G21" s="2400"/>
    </row>
    <row r="22" spans="1:18" ht="13.5" customHeight="1">
      <c r="A22" s="644"/>
      <c r="B22" s="1790" t="s">
        <v>2091</v>
      </c>
      <c r="C22" s="136" t="str">
        <f>C8</f>
        <v>估价对象所在区域基础设施水平</v>
      </c>
      <c r="D22" s="2362"/>
      <c r="E22" s="2398"/>
      <c r="F22" s="2399" t="s">
        <v>2097</v>
      </c>
      <c r="G22" s="1565"/>
    </row>
    <row r="23" spans="1:18" s="2359"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59" customFormat="1" ht="15.75" thickBot="1">
      <c r="A24" s="2404"/>
      <c r="B24" s="2402" t="s">
        <v>2110</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7" sqref="E7"/>
    </sheetView>
  </sheetViews>
  <sheetFormatPr defaultColWidth="9" defaultRowHeight="13.5"/>
  <cols>
    <col min="1" max="1" width="23.375" style="1734" customWidth="1"/>
    <col min="2" max="9" width="15.75" style="1734" customWidth="1"/>
    <col min="10" max="16384" width="9" style="1734"/>
  </cols>
  <sheetData>
    <row r="1" spans="1:10" ht="16.5">
      <c r="A1" s="1738" t="s">
        <v>1357</v>
      </c>
      <c r="B1" s="1738">
        <f>SUM(B14:B23)</f>
        <v>6687.5800000000008</v>
      </c>
      <c r="C1" s="1737"/>
      <c r="D1" s="1737"/>
      <c r="E1" s="1737"/>
      <c r="F1" s="1737"/>
      <c r="G1" s="1735"/>
    </row>
    <row r="2" spans="1:10" ht="16.5">
      <c r="A2" s="1738" t="s">
        <v>1345</v>
      </c>
      <c r="B2" s="1738">
        <f>SUM(C14:C23)</f>
        <v>0</v>
      </c>
      <c r="C2" s="1737"/>
      <c r="D2" s="1737"/>
      <c r="E2" s="1737"/>
      <c r="F2" s="1737"/>
      <c r="G2" s="1735"/>
    </row>
    <row r="3" spans="1:10" ht="16.5">
      <c r="A3" s="1738" t="s">
        <v>1354</v>
      </c>
      <c r="B3" s="1739">
        <f>项目基本情况!D3</f>
        <v>43619</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14788</v>
      </c>
      <c r="C5" s="1738">
        <f ca="1">ROUND(B5*10000/$B$1,0)</f>
        <v>22113</v>
      </c>
      <c r="D5" s="1738" t="e">
        <f ca="1">ROUND(B5*10000/$B$2,0)</f>
        <v>#DIV/0!</v>
      </c>
      <c r="E5" s="1737"/>
      <c r="F5" s="1735"/>
      <c r="G5" s="1735"/>
    </row>
    <row r="6" spans="1:10" ht="16.5">
      <c r="A6" s="1738" t="s">
        <v>1348</v>
      </c>
      <c r="B6" s="1738">
        <f ca="1">SUM(G14:G23)</f>
        <v>14788</v>
      </c>
      <c r="C6" s="1738">
        <f ca="1">ROUND(B6*10000/$B$1,0)</f>
        <v>22113</v>
      </c>
      <c r="D6" s="1738" t="e">
        <f ca="1">ROUND(B6*10000/$B$2,0)</f>
        <v>#DIV/0!</v>
      </c>
      <c r="E6" s="1737"/>
      <c r="F6" s="1735"/>
      <c r="G6" s="1735"/>
    </row>
    <row r="7" spans="1:10" ht="16.5">
      <c r="A7" s="1738" t="s">
        <v>1356</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3036" t="s">
        <v>3295</v>
      </c>
      <c r="B14" s="1736">
        <f>结果表!B118</f>
        <v>3095.6800000000007</v>
      </c>
      <c r="C14" s="1736">
        <f>结果表!C118</f>
        <v>0</v>
      </c>
      <c r="D14" s="1736">
        <f ca="1">结果表!H118</f>
        <v>8416</v>
      </c>
      <c r="E14" s="1736">
        <f ca="1">ROUND(D14*10000/B14,0)</f>
        <v>27186</v>
      </c>
      <c r="F14" s="1736" t="e">
        <f ca="1">ROUND(D14*10000/C14,0)</f>
        <v>#DIV/0!</v>
      </c>
      <c r="G14" s="1736">
        <f ca="1">结果表!D122</f>
        <v>8416</v>
      </c>
      <c r="H14" s="1736" t="str">
        <f>结果表!D124</f>
        <v>——</v>
      </c>
      <c r="I14" s="1736" t="str">
        <f>结果表!D126</f>
        <v>——</v>
      </c>
      <c r="J14" s="1735"/>
    </row>
    <row r="15" spans="1:10" ht="16.5">
      <c r="A15" s="3036" t="s">
        <v>3296</v>
      </c>
      <c r="B15" s="3029">
        <f>[1]系统读取表!$B$14</f>
        <v>215.73999999999998</v>
      </c>
      <c r="C15" s="3029"/>
      <c r="D15" s="3029">
        <f ca="1">[1]系统读取表!$D$14</f>
        <v>831</v>
      </c>
      <c r="E15" s="1736">
        <f t="shared" ref="E15:E23" ca="1" si="0">ROUND(D15*10000/B15,0)</f>
        <v>38519</v>
      </c>
      <c r="F15" s="1736" t="e">
        <f t="shared" ref="F15:F23" ca="1" si="1">ROUND(D15*10000/C15,0)</f>
        <v>#DIV/0!</v>
      </c>
      <c r="G15" s="3029">
        <f ca="1">D15</f>
        <v>831</v>
      </c>
      <c r="H15" s="1742"/>
      <c r="I15" s="1741"/>
      <c r="J15" s="1735"/>
    </row>
    <row r="16" spans="1:10" ht="16.5">
      <c r="A16" s="3036" t="s">
        <v>3297</v>
      </c>
      <c r="B16" s="3029">
        <f>[1]系统读取表!$B$15</f>
        <v>3052.4</v>
      </c>
      <c r="C16" s="3029"/>
      <c r="D16" s="3029">
        <f ca="1">[1]系统读取表!$D$15</f>
        <v>5286</v>
      </c>
      <c r="E16" s="1736">
        <f t="shared" ca="1" si="0"/>
        <v>17318</v>
      </c>
      <c r="F16" s="1736" t="e">
        <f t="shared" ca="1" si="1"/>
        <v>#DIV/0!</v>
      </c>
      <c r="G16" s="3029">
        <f ca="1">D16</f>
        <v>5286</v>
      </c>
      <c r="H16" s="1742"/>
      <c r="I16" s="1741"/>
    </row>
    <row r="17" spans="1:9" ht="16.5">
      <c r="A17" s="3036" t="s">
        <v>3298</v>
      </c>
      <c r="B17" s="3029">
        <f>[1]系统读取表!$B$16</f>
        <v>323.76000000000005</v>
      </c>
      <c r="C17" s="3029"/>
      <c r="D17" s="3029">
        <f ca="1">[1]系统读取表!$D$16</f>
        <v>255</v>
      </c>
      <c r="E17" s="1736">
        <f t="shared" ca="1" si="0"/>
        <v>7876</v>
      </c>
      <c r="F17" s="1736" t="e">
        <f t="shared" ca="1" si="1"/>
        <v>#DIV/0!</v>
      </c>
      <c r="G17" s="3029">
        <f ca="1">D17</f>
        <v>255</v>
      </c>
      <c r="H17" s="1742"/>
      <c r="I17" s="1741"/>
    </row>
    <row r="18" spans="1:9" ht="16.5">
      <c r="A18" s="3036" t="s">
        <v>1342</v>
      </c>
      <c r="B18" s="1741"/>
      <c r="C18" s="1741"/>
      <c r="D18" s="1741"/>
      <c r="E18" s="1736" t="e">
        <f t="shared" si="0"/>
        <v>#DIV/0!</v>
      </c>
      <c r="F18" s="1736" t="e">
        <f t="shared" si="1"/>
        <v>#DIV/0!</v>
      </c>
      <c r="G18" s="1741"/>
      <c r="H18" s="1741"/>
      <c r="I18" s="1741"/>
    </row>
    <row r="19" spans="1:9" ht="16.5">
      <c r="A19" s="3036" t="s">
        <v>1341</v>
      </c>
      <c r="B19" s="1741"/>
      <c r="C19" s="1741"/>
      <c r="D19" s="1741"/>
      <c r="E19" s="1736" t="e">
        <f t="shared" si="0"/>
        <v>#DIV/0!</v>
      </c>
      <c r="F19" s="1736" t="e">
        <f t="shared" si="1"/>
        <v>#DIV/0!</v>
      </c>
      <c r="G19" s="1741"/>
      <c r="H19" s="1741"/>
      <c r="I19" s="1741"/>
    </row>
    <row r="20" spans="1:9" ht="16.5">
      <c r="A20" s="3036" t="s">
        <v>1340</v>
      </c>
      <c r="B20" s="1741"/>
      <c r="C20" s="1741"/>
      <c r="D20" s="1741"/>
      <c r="E20" s="1736" t="e">
        <f t="shared" si="0"/>
        <v>#DIV/0!</v>
      </c>
      <c r="F20" s="1736" t="e">
        <f t="shared" si="1"/>
        <v>#DIV/0!</v>
      </c>
      <c r="G20" s="1741"/>
      <c r="H20" s="1741"/>
      <c r="I20" s="1741"/>
    </row>
    <row r="21" spans="1:9" ht="16.5">
      <c r="A21" s="3036" t="s">
        <v>1339</v>
      </c>
      <c r="B21" s="1741"/>
      <c r="C21" s="1741"/>
      <c r="D21" s="1741"/>
      <c r="E21" s="1736" t="e">
        <f t="shared" si="0"/>
        <v>#DIV/0!</v>
      </c>
      <c r="F21" s="1736" t="e">
        <f t="shared" si="1"/>
        <v>#DIV/0!</v>
      </c>
      <c r="G21" s="1741"/>
      <c r="H21" s="1741"/>
      <c r="I21" s="1741"/>
    </row>
    <row r="22" spans="1:9" ht="16.5">
      <c r="A22" s="3036" t="s">
        <v>1338</v>
      </c>
      <c r="B22" s="1741"/>
      <c r="C22" s="1741"/>
      <c r="D22" s="1741"/>
      <c r="E22" s="1736" t="e">
        <f t="shared" si="0"/>
        <v>#DIV/0!</v>
      </c>
      <c r="F22" s="1736" t="e">
        <f t="shared" si="1"/>
        <v>#DIV/0!</v>
      </c>
      <c r="G22" s="1741"/>
      <c r="H22" s="1741"/>
      <c r="I22" s="1741"/>
    </row>
    <row r="23" spans="1:9" ht="16.5">
      <c r="A23" s="3036"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16"/>
    <col min="3" max="4" width="12.625" style="2416" customWidth="1"/>
    <col min="5" max="9" width="12.625" style="2416"/>
    <col min="10" max="10" width="16.375" style="791" customWidth="1"/>
    <col min="11"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6" t="s">
        <v>2111</v>
      </c>
      <c r="B1" s="2410"/>
      <c r="C1" s="2411"/>
      <c r="D1" s="2410"/>
      <c r="E1" s="2410"/>
      <c r="F1" s="2412" t="s">
        <v>2112</v>
      </c>
      <c r="G1" s="2062" t="s">
        <v>3138</v>
      </c>
      <c r="H1" s="2413" t="str">
        <f>IF(G1="现房","——","估价对象范围")</f>
        <v>——</v>
      </c>
      <c r="I1" s="2414"/>
    </row>
    <row r="2" spans="1:12" ht="21.75" customHeight="1" thickBot="1">
      <c r="A2" s="3163" t="str">
        <f>项目基本情况!S2</f>
        <v>北京市朝阳区朝阳路67号9号楼、10号楼、1号楼等35套商业用房房地产</v>
      </c>
      <c r="B2" s="3164"/>
      <c r="C2" s="3164"/>
      <c r="D2" s="3164"/>
      <c r="E2" s="3164"/>
      <c r="F2" s="3164"/>
      <c r="G2" s="3164"/>
      <c r="H2" s="3164"/>
      <c r="I2" s="3165"/>
    </row>
    <row r="3" spans="1:12" ht="12.75">
      <c r="A3" s="3167" t="s">
        <v>2113</v>
      </c>
      <c r="B3" s="3168"/>
      <c r="C3" s="3168"/>
      <c r="D3" s="3168"/>
      <c r="E3" s="3168"/>
      <c r="F3" s="3168"/>
      <c r="G3" s="3168"/>
      <c r="H3" s="3168"/>
      <c r="I3" s="3168"/>
    </row>
    <row r="4" spans="1:12" ht="14.25">
      <c r="A4" s="2417" t="s">
        <v>2114</v>
      </c>
      <c r="B4" s="2418" t="s">
        <v>2115</v>
      </c>
      <c r="C4" s="2419" t="s">
        <v>3209</v>
      </c>
      <c r="D4" s="2419" t="s">
        <v>3222</v>
      </c>
      <c r="E4" s="3160" t="s">
        <v>2116</v>
      </c>
      <c r="F4" s="3161"/>
      <c r="G4" s="3161"/>
      <c r="H4" s="3161"/>
      <c r="I4" s="3169"/>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3" t="s">
        <v>2117</v>
      </c>
      <c r="B5" s="3081">
        <v>25</v>
      </c>
      <c r="C5" s="3146"/>
      <c r="D5" s="3166"/>
      <c r="E5" s="140" t="s">
        <v>2118</v>
      </c>
      <c r="F5" s="2421"/>
      <c r="G5" s="2421"/>
      <c r="H5" s="2421"/>
      <c r="I5" s="1826"/>
    </row>
    <row r="6" spans="1:12" ht="12.75">
      <c r="A6" s="3143"/>
      <c r="B6" s="3081"/>
      <c r="C6" s="3147"/>
      <c r="D6" s="3166"/>
      <c r="E6" s="140" t="s">
        <v>2119</v>
      </c>
      <c r="F6" s="2421"/>
      <c r="G6" s="2421"/>
      <c r="H6" s="2421"/>
      <c r="I6" s="1826"/>
    </row>
    <row r="7" spans="1:12" ht="12.75">
      <c r="A7" s="3143"/>
      <c r="B7" s="3081"/>
      <c r="C7" s="3148"/>
      <c r="D7" s="3166"/>
      <c r="E7" s="140" t="s">
        <v>2120</v>
      </c>
      <c r="F7" s="2421"/>
      <c r="G7" s="2421"/>
      <c r="H7" s="2421"/>
      <c r="I7" s="1826"/>
    </row>
    <row r="8" spans="1:12" ht="12.75">
      <c r="A8" s="3143" t="s">
        <v>2121</v>
      </c>
      <c r="B8" s="3081">
        <v>15</v>
      </c>
      <c r="C8" s="3146"/>
      <c r="D8" s="3166"/>
      <c r="E8" s="140" t="s">
        <v>2122</v>
      </c>
      <c r="F8" s="2421"/>
      <c r="G8" s="2421"/>
      <c r="H8" s="2421"/>
      <c r="I8" s="1826"/>
    </row>
    <row r="9" spans="1:12" ht="12.75">
      <c r="A9" s="3143"/>
      <c r="B9" s="3081"/>
      <c r="C9" s="3148"/>
      <c r="D9" s="3166"/>
      <c r="E9" s="140" t="s">
        <v>2123</v>
      </c>
      <c r="F9" s="2421"/>
      <c r="G9" s="2421"/>
      <c r="H9" s="2421"/>
      <c r="I9" s="1826"/>
    </row>
    <row r="10" spans="1:12" ht="12.75">
      <c r="A10" s="3143" t="s">
        <v>2124</v>
      </c>
      <c r="B10" s="3081">
        <v>15</v>
      </c>
      <c r="C10" s="3146"/>
      <c r="D10" s="3166"/>
      <c r="E10" s="140" t="s">
        <v>2125</v>
      </c>
      <c r="F10" s="2421"/>
      <c r="G10" s="2421"/>
      <c r="H10" s="2421"/>
      <c r="I10" s="1826"/>
    </row>
    <row r="11" spans="1:12" ht="12.75">
      <c r="A11" s="3143"/>
      <c r="B11" s="3081"/>
      <c r="C11" s="3148"/>
      <c r="D11" s="3166"/>
      <c r="E11" s="140" t="s">
        <v>2126</v>
      </c>
      <c r="F11" s="2421"/>
      <c r="G11" s="2421"/>
      <c r="H11" s="2421"/>
      <c r="I11" s="1826"/>
    </row>
    <row r="12" spans="1:12" ht="12.75">
      <c r="A12" s="3143" t="s">
        <v>2127</v>
      </c>
      <c r="B12" s="3081">
        <v>15</v>
      </c>
      <c r="C12" s="3146"/>
      <c r="D12" s="3166"/>
      <c r="E12" s="140" t="s">
        <v>2128</v>
      </c>
      <c r="F12" s="2421"/>
      <c r="G12" s="2421"/>
      <c r="H12" s="2421"/>
      <c r="I12" s="1826"/>
    </row>
    <row r="13" spans="1:12" ht="12.75">
      <c r="A13" s="3143"/>
      <c r="B13" s="3081"/>
      <c r="C13" s="3148"/>
      <c r="D13" s="3166"/>
      <c r="E13" s="140" t="s">
        <v>2129</v>
      </c>
      <c r="F13" s="2421"/>
      <c r="G13" s="2421"/>
      <c r="H13" s="2421"/>
      <c r="I13" s="1826"/>
    </row>
    <row r="14" spans="1:12" ht="12.75">
      <c r="A14" s="3143" t="s">
        <v>2130</v>
      </c>
      <c r="B14" s="3081">
        <v>30</v>
      </c>
      <c r="C14" s="3146">
        <v>55</v>
      </c>
      <c r="D14" s="3166">
        <v>45</v>
      </c>
      <c r="E14" s="140" t="s">
        <v>2131</v>
      </c>
      <c r="F14" s="2421"/>
      <c r="G14" s="2421"/>
      <c r="H14" s="2421"/>
      <c r="I14" s="1826"/>
    </row>
    <row r="15" spans="1:12" ht="12.75">
      <c r="A15" s="3143"/>
      <c r="B15" s="3081"/>
      <c r="C15" s="3147"/>
      <c r="D15" s="3166"/>
      <c r="E15" s="140" t="s">
        <v>2132</v>
      </c>
      <c r="F15" s="2421"/>
      <c r="G15" s="2421"/>
      <c r="H15" s="2421"/>
      <c r="I15" s="1826"/>
    </row>
    <row r="16" spans="1:12" ht="12.75">
      <c r="A16" s="3143"/>
      <c r="B16" s="3081"/>
      <c r="C16" s="3148"/>
      <c r="D16" s="3166"/>
      <c r="E16" s="140" t="s">
        <v>2133</v>
      </c>
      <c r="F16" s="2421"/>
      <c r="G16" s="2421"/>
      <c r="H16" s="2421"/>
      <c r="I16" s="1826"/>
    </row>
    <row r="17" spans="1:35" ht="15">
      <c r="A17" s="2422" t="s">
        <v>2134</v>
      </c>
      <c r="B17" s="64"/>
      <c r="C17" s="141">
        <f>SUM(C5:C16)</f>
        <v>55</v>
      </c>
      <c r="D17" s="141">
        <f>SUM(D5:D16)</f>
        <v>45</v>
      </c>
      <c r="E17" s="138"/>
      <c r="F17" s="138"/>
      <c r="G17" s="138"/>
      <c r="H17" s="138"/>
      <c r="I17" s="138"/>
      <c r="K17" s="2420"/>
      <c r="L17" s="2423" t="s">
        <v>2135</v>
      </c>
      <c r="M17" s="2423" t="s">
        <v>2136</v>
      </c>
    </row>
    <row r="18" spans="1:35" ht="15.75" thickBot="1">
      <c r="A18" s="2424" t="s">
        <v>2137</v>
      </c>
      <c r="B18" s="2425"/>
      <c r="C18" s="142">
        <f>ROUND(C17/SUM(C17:D17),2)</f>
        <v>0.55000000000000004</v>
      </c>
      <c r="D18" s="142">
        <f>1-C18</f>
        <v>0.44999999999999996</v>
      </c>
      <c r="E18" s="138"/>
      <c r="F18" s="138"/>
      <c r="G18" s="138"/>
      <c r="H18" s="138"/>
      <c r="I18" s="138"/>
      <c r="K18" s="2420" t="s">
        <v>2138</v>
      </c>
      <c r="L18" s="2420">
        <f>IF(C1="",'数据-汇总表'!E3,SUMIF(项目类型,C1,'数据-汇总表'!E17:E26)+SUMIF(项目类型,C1,'数据-汇总表'!I17:I26))</f>
        <v>3095.6800000000007</v>
      </c>
      <c r="M18" s="2420">
        <f>IF(C1="",'数据-汇总表'!E3,SUMIF(项目类型,C1,'数据-汇总表'!E17:E26))</f>
        <v>3095.6800000000007</v>
      </c>
    </row>
    <row r="19" spans="1:35" ht="15">
      <c r="A19" s="2426" t="s">
        <v>2139</v>
      </c>
      <c r="B19" s="2427" t="s">
        <v>2140</v>
      </c>
      <c r="C19" s="143">
        <f ca="1">SUMIF(INDIRECT("'"&amp;C4&amp;"'"&amp;"!A:A"),结果表!B19,INDIRECT("'"&amp;C4&amp;"'"&amp;"!B:B"))</f>
        <v>5986</v>
      </c>
      <c r="D19" s="144">
        <f ca="1">SUMIF(INDIRECT("'"&amp;D4&amp;"'"&amp;"!A:A"),结果表!B19,INDIRECT("'"&amp;D4&amp;"'"&amp;"!B:B"))</f>
        <v>11385</v>
      </c>
      <c r="E19" s="2426" t="s">
        <v>2141</v>
      </c>
      <c r="F19" s="2427" t="s">
        <v>2140</v>
      </c>
      <c r="G19" s="145">
        <f ca="1">ROUND(C19*$C$18+D19*$D$18,0)</f>
        <v>8416</v>
      </c>
      <c r="H19" s="2428" t="s">
        <v>2142</v>
      </c>
      <c r="I19" s="138"/>
      <c r="K19" s="2420" t="s">
        <v>2143</v>
      </c>
      <c r="L19" s="2420">
        <f>IF(C1="",'数据-汇总表'!D3,SUMIF(项目类型,C1,'数据-汇总表'!D17:D26)+SUMIF(项目类型,C1,'数据-汇总表'!H17:H27))</f>
        <v>0</v>
      </c>
      <c r="M19" s="2420">
        <f>IF(C1="",'数据-汇总表'!D3,SUMIF(项目类型,C1,'数据-汇总表'!D17:D26))</f>
        <v>0</v>
      </c>
    </row>
    <row r="20" spans="1:35" ht="15">
      <c r="A20" s="2429"/>
      <c r="B20" s="1243" t="s">
        <v>2144</v>
      </c>
      <c r="C20" s="146">
        <f ca="1">SUMIF(INDIRECT("'"&amp;C4&amp;"'"&amp;"!A:A"),结果表!B20,INDIRECT("'"&amp;C4&amp;"'"&amp;"!B:B"))</f>
        <v>19337</v>
      </c>
      <c r="D20" s="147">
        <f ca="1">SUMIF(INDIRECT("'"&amp;D4&amp;"'"&amp;"!A:A"),结果表!B20,INDIRECT("'"&amp;D4&amp;"'"&amp;"!B:B"))</f>
        <v>36777</v>
      </c>
      <c r="E20" s="2429"/>
      <c r="F20" s="1243" t="s">
        <v>2144</v>
      </c>
      <c r="G20" s="148">
        <f ca="1">ROUND(C20*$C$18+D20*$D$18,0)</f>
        <v>27185</v>
      </c>
      <c r="H20" s="976" t="s">
        <v>2145</v>
      </c>
      <c r="I20" s="138"/>
    </row>
    <row r="21" spans="1:35" ht="15" customHeight="1" thickBot="1">
      <c r="A21" s="996"/>
      <c r="B21" s="2430" t="s">
        <v>2146</v>
      </c>
      <c r="C21" s="785" t="e">
        <f ca="1">ROUND(C19*10000/L19,0)</f>
        <v>#DIV/0!</v>
      </c>
      <c r="D21" s="786" t="e">
        <f ca="1">ROUND(D19*10000/L19,0)</f>
        <v>#DIV/0!</v>
      </c>
      <c r="E21" s="996"/>
      <c r="F21" s="2430" t="s">
        <v>2146</v>
      </c>
      <c r="G21" s="149" t="e">
        <f ca="1">ROUND(G19*10000/L19,0)</f>
        <v>#DIV/0!</v>
      </c>
      <c r="H21" s="2431" t="s">
        <v>2145</v>
      </c>
      <c r="I21" s="138"/>
    </row>
    <row r="22" spans="1:35" ht="15" thickBot="1">
      <c r="A22" s="2272" t="s">
        <v>2147</v>
      </c>
      <c r="B22" s="2432"/>
      <c r="C22" s="2433"/>
      <c r="D22" s="787">
        <f ca="1">IF(C19&lt;D19,D19/C19-1,C19/D19-1)</f>
        <v>0.90193785499498835</v>
      </c>
      <c r="E22" s="138"/>
      <c r="F22" s="138"/>
      <c r="G22" s="138"/>
      <c r="H22" s="138"/>
      <c r="I22" s="138"/>
    </row>
    <row r="23" spans="1:35" ht="13.5" thickBot="1">
      <c r="A23" s="2410"/>
      <c r="B23" s="2410"/>
      <c r="C23" s="2410"/>
      <c r="D23" s="2410"/>
      <c r="E23" s="138"/>
      <c r="F23" s="138"/>
      <c r="G23" s="138"/>
      <c r="H23" s="138"/>
      <c r="I23" s="138"/>
    </row>
    <row r="24" spans="1:35" ht="14.25">
      <c r="A24" s="3137" t="s">
        <v>2148</v>
      </c>
      <c r="B24" s="2427" t="s">
        <v>2140</v>
      </c>
      <c r="C24" s="145">
        <f>IF(B30=0,0,D30)</f>
        <v>0</v>
      </c>
      <c r="D24" s="2434"/>
      <c r="E24" s="138"/>
      <c r="F24" s="138"/>
      <c r="G24" s="138"/>
      <c r="H24" s="138"/>
      <c r="I24" s="138"/>
    </row>
    <row r="25" spans="1:35" ht="14.25">
      <c r="A25" s="3138"/>
      <c r="B25" s="1243" t="s">
        <v>2144</v>
      </c>
      <c r="C25" s="150">
        <f>IF(B30=0,0,C30)</f>
        <v>0</v>
      </c>
      <c r="D25" s="2435"/>
      <c r="E25" s="138"/>
      <c r="F25" s="138"/>
      <c r="G25" s="138"/>
      <c r="H25" s="138"/>
      <c r="I25" s="138"/>
    </row>
    <row r="26" spans="1:35" ht="13.5" customHeight="1">
      <c r="A26" s="2436" t="s">
        <v>2149</v>
      </c>
      <c r="B26" s="151" t="s">
        <v>2150</v>
      </c>
      <c r="C26" s="151" t="s">
        <v>2151</v>
      </c>
      <c r="D26" s="152" t="s">
        <v>2152</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2153</v>
      </c>
      <c r="B30" s="151"/>
      <c r="C30" s="151"/>
      <c r="D30" s="151"/>
      <c r="E30" s="2909" t="s">
        <v>3026</v>
      </c>
      <c r="F30" s="138"/>
      <c r="G30" s="138"/>
      <c r="H30" s="138"/>
      <c r="I30" s="138"/>
    </row>
    <row r="31" spans="1:35" s="2438" customFormat="1" ht="15" thickBot="1">
      <c r="A31" s="2437"/>
      <c r="B31" s="2437"/>
      <c r="C31" s="2437"/>
      <c r="D31" s="2437"/>
      <c r="E31" s="138"/>
      <c r="F31" s="138"/>
      <c r="G31" s="138"/>
      <c r="H31" s="138"/>
      <c r="I31" s="138"/>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3">
        <f ca="1">IF(D32="总价",G19-C24,G20-C25)</f>
        <v>8416</v>
      </c>
      <c r="D32" s="2441" t="s">
        <v>2155</v>
      </c>
      <c r="E32" s="138"/>
      <c r="F32" s="138"/>
      <c r="G32" s="138"/>
      <c r="H32" s="138"/>
      <c r="I32" s="138"/>
    </row>
    <row r="33" spans="1:15" ht="15">
      <c r="A33" s="953" t="s">
        <v>2156</v>
      </c>
      <c r="B33" s="2442"/>
      <c r="C33" s="2443" t="s">
        <v>3255</v>
      </c>
      <c r="D33" s="2444" t="s">
        <v>3159</v>
      </c>
      <c r="E33" s="2445" t="s">
        <v>2157</v>
      </c>
      <c r="F33" s="2446" t="str">
        <f>IF(D32="楼面单价","取值（单价）","取值（总价）")</f>
        <v>取值（总价）</v>
      </c>
      <c r="G33" s="138"/>
      <c r="H33" s="138"/>
      <c r="I33" s="138"/>
    </row>
    <row r="34" spans="1:15" ht="15">
      <c r="A34" s="2447"/>
      <c r="B34" s="2448" t="s">
        <v>2158</v>
      </c>
      <c r="C34" s="157">
        <f ca="1">IF(C33="自定义",F34,C32-C35)</f>
        <v>6413</v>
      </c>
      <c r="D34" s="1051">
        <f ca="1">IF(C33="自定义",ROUND(C34/C32,3),IF(C33="收益比率",SUMIF(INDIRECT("'"&amp;D33&amp;"'"&amp;"!b:b"),"土地收益比率",INDIRECT("'"&amp;D33&amp;"'"&amp;"!c:c")),SUMIF(INDIRECT("'"&amp;D33&amp;"'"&amp;"!b:b"),"土地成本比率",INDIRECT("'"&amp;D33&amp;"'"&amp;"!c:c"))))</f>
        <v>0.76200000000000001</v>
      </c>
      <c r="E34" s="2449" t="s">
        <v>2159</v>
      </c>
      <c r="F34" s="1732"/>
      <c r="G34" s="138"/>
      <c r="H34" s="138"/>
      <c r="I34" s="138"/>
    </row>
    <row r="35" spans="1:15" ht="15.75" thickBot="1">
      <c r="A35" s="2450"/>
      <c r="B35" s="2451" t="s">
        <v>2160</v>
      </c>
      <c r="C35" s="1437">
        <f ca="1">IF(C33="自定义",F35,ROUND(C32*D35,0))</f>
        <v>2003</v>
      </c>
      <c r="D35" s="1438">
        <f ca="1">IF(C33="自定义",ROUND(C35/C32,3),IF(C33="收益比率",SUMIF(INDIRECT("'"&amp;D33&amp;"'"&amp;"!b:b"),"建筑物收益比率",INDIRECT("'"&amp;D33&amp;"'"&amp;"!c:c")),SUMIF(INDIRECT("'"&amp;D33&amp;"'"&amp;"!b:b"),"建筑物成本比率",INDIRECT("'"&amp;D33&amp;"'"&amp;"!c:c"))))</f>
        <v>0.23799999999999999</v>
      </c>
      <c r="E35" s="2452" t="s">
        <v>2161</v>
      </c>
      <c r="F35" s="163"/>
      <c r="G35" s="138"/>
      <c r="H35" s="138"/>
      <c r="I35" s="138"/>
    </row>
    <row r="36" spans="1:15" ht="15.75" thickBot="1">
      <c r="A36" s="3155" t="s">
        <v>2162</v>
      </c>
      <c r="B36" s="2453" t="s">
        <v>2163</v>
      </c>
      <c r="C36" s="154"/>
      <c r="D36" s="2454"/>
      <c r="E36" s="2455"/>
      <c r="F36" s="2456"/>
      <c r="G36" s="138"/>
      <c r="H36" s="138"/>
      <c r="I36" s="138"/>
    </row>
    <row r="37" spans="1:15" ht="15.75" thickBot="1">
      <c r="A37" s="3156"/>
      <c r="B37" s="2258" t="s">
        <v>2164</v>
      </c>
      <c r="C37" s="156"/>
      <c r="D37" s="1388"/>
      <c r="E37" s="1388"/>
      <c r="F37" s="2456"/>
      <c r="G37" s="138"/>
      <c r="H37" s="138"/>
      <c r="I37" s="138"/>
    </row>
    <row r="38" spans="1:15" ht="15.75" thickBot="1">
      <c r="A38" s="3157"/>
      <c r="B38" s="2457" t="s">
        <v>2165</v>
      </c>
      <c r="C38" s="723"/>
      <c r="D38" s="2458" t="s">
        <v>2166</v>
      </c>
      <c r="E38" s="1388"/>
      <c r="F38" s="2456"/>
      <c r="G38" s="138"/>
      <c r="H38" s="138"/>
      <c r="I38" s="138"/>
    </row>
    <row r="39" spans="1:15" ht="15">
      <c r="A39" s="2429" t="s">
        <v>2167</v>
      </c>
      <c r="B39" s="2459" t="s">
        <v>2168</v>
      </c>
      <c r="C39" s="2460" t="s">
        <v>2169</v>
      </c>
      <c r="D39" s="2460" t="s">
        <v>2170</v>
      </c>
      <c r="E39" s="2461" t="s">
        <v>2171</v>
      </c>
      <c r="F39" s="2456"/>
      <c r="G39" s="138"/>
      <c r="H39" s="138"/>
      <c r="I39" s="138"/>
    </row>
    <row r="40" spans="1:15" ht="14.25">
      <c r="A40" s="2462" t="s">
        <v>2172</v>
      </c>
      <c r="B40" s="158"/>
      <c r="C40" s="159"/>
      <c r="D40" s="159"/>
      <c r="E40" s="160"/>
      <c r="F40" s="2456"/>
      <c r="G40" s="138"/>
      <c r="H40" s="138"/>
      <c r="I40" s="138"/>
    </row>
    <row r="41" spans="1:15" ht="14.25">
      <c r="A41" s="2462" t="s">
        <v>2173</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6"/>
      <c r="B43" s="2156"/>
      <c r="C43" s="2156"/>
      <c r="D43" s="2156"/>
      <c r="E43" s="2156"/>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34" t="s">
        <v>2176</v>
      </c>
      <c r="B45" s="3135"/>
      <c r="C45" s="3136"/>
      <c r="D45" s="164">
        <f ca="1">ROUND(H101*F45,0)</f>
        <v>8416</v>
      </c>
      <c r="E45" s="165" t="s">
        <v>2177</v>
      </c>
      <c r="F45" s="166">
        <v>1</v>
      </c>
      <c r="G45" s="167" t="s">
        <v>2178</v>
      </c>
      <c r="H45" s="138"/>
      <c r="I45" s="138"/>
      <c r="J45" s="3194" t="s">
        <v>2179</v>
      </c>
      <c r="K45" s="3194"/>
      <c r="L45" s="3194"/>
      <c r="M45" s="3194"/>
      <c r="N45" s="3194"/>
      <c r="O45" s="3194"/>
    </row>
    <row r="46" spans="1:15" ht="14.25" customHeight="1">
      <c r="A46" s="3131" t="s">
        <v>2180</v>
      </c>
      <c r="B46" s="3132"/>
      <c r="C46" s="3132"/>
      <c r="D46" s="3132"/>
      <c r="E46" s="3132"/>
      <c r="F46" s="3132"/>
      <c r="G46" s="3133"/>
      <c r="H46" s="2472"/>
      <c r="I46" s="168"/>
      <c r="J46" s="1804">
        <v>1</v>
      </c>
      <c r="K46" s="3194" t="s">
        <v>2181</v>
      </c>
      <c r="L46" s="3194"/>
      <c r="M46" s="3214"/>
      <c r="N46" s="3214"/>
      <c r="O46" s="3214"/>
    </row>
    <row r="47" spans="1:15" ht="12" customHeight="1">
      <c r="A47" s="169" t="s">
        <v>2182</v>
      </c>
      <c r="B47" s="170"/>
      <c r="C47" s="171"/>
      <c r="D47" s="172" t="s">
        <v>2183</v>
      </c>
      <c r="E47" s="24" t="s">
        <v>2184</v>
      </c>
      <c r="F47" s="173" t="s">
        <v>2185</v>
      </c>
      <c r="G47" s="174" t="s">
        <v>2186</v>
      </c>
      <c r="H47" s="2472"/>
      <c r="I47" s="168"/>
      <c r="J47" s="1804">
        <v>2</v>
      </c>
      <c r="K47" s="3194" t="s">
        <v>2187</v>
      </c>
      <c r="L47" s="3194"/>
      <c r="M47" s="3215">
        <f>'数据-取费表'!B2</f>
        <v>43619</v>
      </c>
      <c r="N47" s="3215"/>
      <c r="O47" s="3215"/>
    </row>
    <row r="48" spans="1:15" ht="25.5">
      <c r="A48" s="3162" t="s">
        <v>2188</v>
      </c>
      <c r="B48" s="3145"/>
      <c r="C48" s="3145"/>
      <c r="D48" s="140">
        <f ca="1">IF(H48="情况1",0,IF(H48="情况2",D52,IF(H48="情况3",D53,IF(H48="情况4",D54))))</f>
        <v>449</v>
      </c>
      <c r="E48" s="1793" t="str">
        <f>IF(H48="情况4","(销售额-原购置价)×税（费）率","销售额×税（费）率")</f>
        <v>销售额×税（费）率</v>
      </c>
      <c r="F48" s="175">
        <f>IF(H48="情况1","免征",'数据-取费表'!B41)</f>
        <v>5.6000000000000001E-2</v>
      </c>
      <c r="G48" s="2473" t="s">
        <v>2189</v>
      </c>
      <c r="H48" s="2474" t="s">
        <v>3225</v>
      </c>
      <c r="I48" s="2472"/>
      <c r="J48" s="1804">
        <v>3</v>
      </c>
      <c r="K48" s="3194" t="s">
        <v>2190</v>
      </c>
      <c r="L48" s="3194"/>
      <c r="M48" s="3216">
        <f ca="1">H101</f>
        <v>8416</v>
      </c>
      <c r="N48" s="3216"/>
      <c r="O48" s="3216"/>
    </row>
    <row r="49" spans="1:35" ht="25.5" customHeight="1">
      <c r="A49" s="176" t="s">
        <v>2191</v>
      </c>
      <c r="B49" s="3130" t="s">
        <v>2192</v>
      </c>
      <c r="C49" s="3130"/>
      <c r="D49" s="177">
        <v>0</v>
      </c>
      <c r="E49" s="23" t="s">
        <v>2193</v>
      </c>
      <c r="F49" s="28" t="s">
        <v>34</v>
      </c>
      <c r="G49" s="3200"/>
      <c r="H49" s="138"/>
      <c r="I49" s="2475"/>
      <c r="J49" s="1804">
        <v>4</v>
      </c>
      <c r="K49" s="3194" t="str">
        <f>IF(项目基本情况!E8="房地产抵押价值","房地产抵押价值","抵押担保权已注销时的房地产抵押价值")</f>
        <v>房地产抵押价值</v>
      </c>
      <c r="L49" s="3194"/>
      <c r="M49" s="3216">
        <f ca="1">IF(项目基本情况!E8="房地产抵押价值",H107,H109)</f>
        <v>8416</v>
      </c>
      <c r="N49" s="3216"/>
      <c r="O49" s="3216"/>
    </row>
    <row r="50" spans="1:35" ht="25.5" customHeight="1">
      <c r="A50" s="178"/>
      <c r="B50" s="3130" t="s">
        <v>2194</v>
      </c>
      <c r="C50" s="3130"/>
      <c r="D50" s="179"/>
      <c r="E50" s="31"/>
      <c r="F50" s="180"/>
      <c r="G50" s="3201"/>
      <c r="H50" s="138"/>
      <c r="I50" s="2475"/>
      <c r="J50" s="3194" t="s">
        <v>2195</v>
      </c>
      <c r="K50" s="3194"/>
      <c r="L50" s="3194"/>
      <c r="M50" s="3194"/>
      <c r="N50" s="3194"/>
      <c r="O50" s="3194"/>
    </row>
    <row r="51" spans="1:35" ht="12" customHeight="1">
      <c r="A51" s="181"/>
      <c r="B51" s="3130" t="s">
        <v>2196</v>
      </c>
      <c r="C51" s="3130"/>
      <c r="D51" s="182"/>
      <c r="E51" s="30"/>
      <c r="F51" s="180"/>
      <c r="G51" s="3202"/>
      <c r="H51" s="138"/>
      <c r="I51" s="2475"/>
      <c r="J51" s="2476" t="s">
        <v>2197</v>
      </c>
      <c r="K51" s="3194" t="s">
        <v>2198</v>
      </c>
      <c r="L51" s="3194"/>
      <c r="M51" s="2476" t="s">
        <v>2199</v>
      </c>
      <c r="N51" s="2476" t="s">
        <v>2200</v>
      </c>
      <c r="O51" s="2476" t="s">
        <v>2201</v>
      </c>
    </row>
    <row r="52" spans="1:35" ht="24" customHeight="1">
      <c r="A52" s="183" t="s">
        <v>2202</v>
      </c>
      <c r="B52" s="3130" t="s">
        <v>2203</v>
      </c>
      <c r="C52" s="3130"/>
      <c r="D52" s="182">
        <f ca="1">ROUND(D45*'数据-取费表'!B41/(1+'数据-取费表'!C42),0)</f>
        <v>449</v>
      </c>
      <c r="E52" s="11" t="s">
        <v>2204</v>
      </c>
      <c r="F52" s="184">
        <f>'数据-取费表'!B41</f>
        <v>5.6000000000000001E-2</v>
      </c>
      <c r="G52" s="2477"/>
      <c r="H52" s="138"/>
      <c r="I52" s="2475"/>
      <c r="J52" s="1804">
        <v>1</v>
      </c>
      <c r="K52" s="3195" t="s">
        <v>2205</v>
      </c>
      <c r="L52" s="3195"/>
      <c r="M52" s="1746">
        <f ca="1">D48</f>
        <v>449</v>
      </c>
      <c r="N52" s="1804" t="str">
        <f>E48</f>
        <v>销售额×税（费）率</v>
      </c>
      <c r="O52" s="1747">
        <f>F48</f>
        <v>5.6000000000000001E-2</v>
      </c>
    </row>
    <row r="53" spans="1:35" ht="12" customHeight="1">
      <c r="A53" s="183" t="s">
        <v>2206</v>
      </c>
      <c r="B53" s="3153" t="s">
        <v>2207</v>
      </c>
      <c r="C53" s="3154"/>
      <c r="D53" s="182">
        <f ca="1">ROUND(D45*'数据-取费表'!B41/(1+'数据-取费表'!C42),0)</f>
        <v>449</v>
      </c>
      <c r="E53" s="11" t="s">
        <v>2204</v>
      </c>
      <c r="F53" s="184">
        <f>'数据-取费表'!B41</f>
        <v>5.6000000000000001E-2</v>
      </c>
      <c r="G53" s="2477"/>
      <c r="H53" s="138"/>
      <c r="I53" s="2475"/>
      <c r="J53" s="1804">
        <v>2</v>
      </c>
      <c r="K53" s="3195" t="s">
        <v>2208</v>
      </c>
      <c r="L53" s="3195"/>
      <c r="M53" s="1746">
        <f t="shared" ref="M53:O54" ca="1" si="0">D55</f>
        <v>4</v>
      </c>
      <c r="N53" s="1804" t="str">
        <f t="shared" si="0"/>
        <v>销售额×税（费）率</v>
      </c>
      <c r="O53" s="1747">
        <f t="shared" si="0"/>
        <v>5.0000000000000001E-4</v>
      </c>
    </row>
    <row r="54" spans="1:35" ht="12" customHeight="1">
      <c r="A54" s="183" t="s">
        <v>2209</v>
      </c>
      <c r="B54" s="3153" t="s">
        <v>2210</v>
      </c>
      <c r="C54" s="3154"/>
      <c r="D54" s="182">
        <f ca="1">C68</f>
        <v>449</v>
      </c>
      <c r="E54" s="30" t="s">
        <v>2211</v>
      </c>
      <c r="F54" s="184">
        <f>'数据-取费表'!B41</f>
        <v>5.6000000000000001E-2</v>
      </c>
      <c r="G54" s="2477"/>
      <c r="H54" s="2478"/>
      <c r="I54" s="2475"/>
      <c r="J54" s="1804">
        <v>3</v>
      </c>
      <c r="K54" s="3195" t="s">
        <v>2212</v>
      </c>
      <c r="L54" s="3195"/>
      <c r="M54" s="1746">
        <f t="shared" ca="1" si="0"/>
        <v>1639</v>
      </c>
      <c r="N54" s="1804" t="str">
        <f t="shared" si="0"/>
        <v>增值额×税（费）率</v>
      </c>
      <c r="O54" s="1748" t="str">
        <f t="shared" si="0"/>
        <v>——</v>
      </c>
    </row>
    <row r="55" spans="1:35" ht="24" customHeight="1">
      <c r="A55" s="3144" t="s">
        <v>2213</v>
      </c>
      <c r="B55" s="3145"/>
      <c r="C55" s="3145"/>
      <c r="D55" s="185">
        <f ca="1">IF(H55="个人住宅",0,ROUND(D45*I55,0))</f>
        <v>4</v>
      </c>
      <c r="E55" s="11" t="s">
        <v>2214</v>
      </c>
      <c r="F55" s="184">
        <f>IF(H55="正常",I55,"免征")</f>
        <v>5.0000000000000001E-4</v>
      </c>
      <c r="G55" s="2477"/>
      <c r="H55" s="2474" t="s">
        <v>2215</v>
      </c>
      <c r="I55" s="186">
        <f>'数据-取费表'!B49</f>
        <v>5.0000000000000001E-4</v>
      </c>
      <c r="J55" s="1804" t="str">
        <f>IF(H59="非个人房产","",4)</f>
        <v/>
      </c>
      <c r="K55" s="3195" t="str">
        <f>IF(H59="非个人房产","——","个人所得税")</f>
        <v>——</v>
      </c>
      <c r="L55" s="3195"/>
      <c r="M55" s="1749" t="str">
        <f>D59</f>
        <v>——</v>
      </c>
      <c r="N55" s="1802" t="str">
        <f>E59</f>
        <v>——</v>
      </c>
      <c r="O55" s="1750" t="str">
        <f>F59</f>
        <v>——</v>
      </c>
    </row>
    <row r="56" spans="1:35" ht="24.75">
      <c r="A56" s="3144" t="s">
        <v>2216</v>
      </c>
      <c r="B56" s="3145"/>
      <c r="C56" s="3145"/>
      <c r="D56" s="185">
        <f ca="1">IF(H56="个人住宅",D57,D58)</f>
        <v>1639</v>
      </c>
      <c r="E56" s="11" t="s">
        <v>2217</v>
      </c>
      <c r="F56" s="184" t="str">
        <f>IF(H56="正常",F58,"免征")</f>
        <v>——</v>
      </c>
      <c r="G56" s="2479" t="s">
        <v>2218</v>
      </c>
      <c r="H56" s="2480" t="s">
        <v>2215</v>
      </c>
      <c r="I56" s="2481"/>
      <c r="J56" s="1804" t="str">
        <f>IF(项目基本情况!K6="上海银行",IF(J55="",4,J55+1),"")</f>
        <v/>
      </c>
      <c r="K56" s="3218" t="str">
        <f>IF(项目基本情况!K6="上海银行","其他处置费用","")</f>
        <v/>
      </c>
      <c r="L56" s="3219"/>
      <c r="M56" s="1746" t="str">
        <f>IF(项目基本情况!K6="上海银行",M69,"")</f>
        <v/>
      </c>
      <c r="N56" s="3221" t="str">
        <f>IF(项目基本情况!K6="上海银行","包含处置中涉及的律师、诉讼、拍卖、评估等费用","")</f>
        <v/>
      </c>
      <c r="O56" s="3222"/>
    </row>
    <row r="57" spans="1:35" ht="12.75">
      <c r="A57" s="183" t="s">
        <v>2191</v>
      </c>
      <c r="B57" s="3160" t="s">
        <v>2219</v>
      </c>
      <c r="C57" s="3169"/>
      <c r="D57" s="187">
        <v>0</v>
      </c>
      <c r="E57" s="23" t="s">
        <v>2193</v>
      </c>
      <c r="F57" s="155"/>
      <c r="G57" s="2477"/>
      <c r="H57" s="2481"/>
      <c r="I57" s="2481"/>
      <c r="J57" s="3195">
        <f>IF(AND(J55="",J56=""),4,IF(项目基本情况!K6="上海银行",结果表!J56+1,结果表!J55+1))</f>
        <v>4</v>
      </c>
      <c r="K57" s="3195" t="s">
        <v>2220</v>
      </c>
      <c r="L57" s="2482" t="s">
        <v>2221</v>
      </c>
      <c r="M57" s="1751"/>
      <c r="N57" s="1752">
        <f ca="1">SUMIF(M52:M56,"&lt;9e307")</f>
        <v>2092</v>
      </c>
      <c r="O57" s="2483"/>
      <c r="P57" s="1745">
        <f ca="1">N57/M49</f>
        <v>0.24857414448669202</v>
      </c>
    </row>
    <row r="58" spans="1:35" ht="24.75">
      <c r="A58" s="183" t="s">
        <v>2202</v>
      </c>
      <c r="B58" s="3160" t="s">
        <v>2222</v>
      </c>
      <c r="C58" s="3161"/>
      <c r="D58" s="185">
        <f ca="1">IF(H58="转让取得",C81,C97)</f>
        <v>1639</v>
      </c>
      <c r="E58" s="11" t="s">
        <v>2217</v>
      </c>
      <c r="F58" s="24" t="s">
        <v>34</v>
      </c>
      <c r="G58" s="2477"/>
      <c r="H58" s="2480" t="s">
        <v>3226</v>
      </c>
      <c r="I58" s="2481"/>
      <c r="J58" s="3195"/>
      <c r="K58" s="3195"/>
      <c r="L58" s="2482" t="s">
        <v>2223</v>
      </c>
      <c r="M58" s="1753"/>
      <c r="N58" s="2484" t="str">
        <f ca="1">NUMBERSTRING(INT(N57*10000),2)&amp;"元整"</f>
        <v>贰仟零玖拾贰万元整</v>
      </c>
      <c r="O58" s="2485"/>
    </row>
    <row r="59" spans="1:35" ht="24.75" thickBot="1">
      <c r="A59" s="3198" t="s">
        <v>2224</v>
      </c>
      <c r="B59" s="3199"/>
      <c r="C59" s="3199"/>
      <c r="D59" s="188" t="str">
        <f>IF(H59="非个人房产","——",IF(H59="个人住宅",0,ROUND(D45*I59,0)))</f>
        <v>——</v>
      </c>
      <c r="E59" s="189" t="str">
        <f>IF(H59="非个人房产","——","销售额×税（费）率")</f>
        <v>——</v>
      </c>
      <c r="F59" s="190" t="str">
        <f>IF(H59="非个人房产","——",IF(H59="个人住宅","免征",I59))</f>
        <v>——</v>
      </c>
      <c r="G59" s="2486" t="s">
        <v>2218</v>
      </c>
      <c r="H59" s="2480" t="s">
        <v>3224</v>
      </c>
      <c r="I59" s="191">
        <v>0.01</v>
      </c>
      <c r="J59" s="3196">
        <f>J57+1</f>
        <v>5</v>
      </c>
      <c r="K59" s="3195" t="s">
        <v>2225</v>
      </c>
      <c r="L59" s="1804" t="s">
        <v>2221</v>
      </c>
      <c r="M59" s="1754"/>
      <c r="N59" s="1755">
        <f ca="1">M49-N57</f>
        <v>6324</v>
      </c>
      <c r="O59" s="2487"/>
    </row>
    <row r="60" spans="1:35" ht="12" customHeight="1">
      <c r="A60" s="2488"/>
      <c r="B60" s="2410"/>
      <c r="C60" s="2410"/>
      <c r="D60" s="2410"/>
      <c r="E60" s="2157"/>
      <c r="F60" s="2481"/>
      <c r="G60" s="2481"/>
      <c r="H60" s="2489"/>
      <c r="I60" s="138"/>
      <c r="J60" s="3197"/>
      <c r="K60" s="3195"/>
      <c r="L60" s="2482" t="s">
        <v>2223</v>
      </c>
      <c r="M60" s="1753"/>
      <c r="N60" s="2484" t="str">
        <f ca="1">NUMBERSTRING(INT(N59*10000),2)&amp;"元整"</f>
        <v>陆仟叁佰贰拾肆万元整</v>
      </c>
      <c r="O60" s="2485"/>
    </row>
    <row r="61" spans="1:35" ht="13.5" thickBot="1">
      <c r="A61" s="3142" t="s">
        <v>2226</v>
      </c>
      <c r="B61" s="3142"/>
      <c r="C61" s="3142"/>
      <c r="D61" s="3142"/>
      <c r="E61" s="3142"/>
      <c r="F61" s="2481"/>
      <c r="G61" s="2481"/>
      <c r="H61" s="2489"/>
      <c r="I61" s="138"/>
      <c r="J61" s="1804">
        <f>J59+1</f>
        <v>6</v>
      </c>
      <c r="K61" s="3195" t="s">
        <v>2227</v>
      </c>
      <c r="L61" s="3195"/>
      <c r="M61" s="1756"/>
      <c r="N61" s="1757">
        <f ca="1">ROUND(N59*10000/'数据-汇总表'!E3,0)</f>
        <v>20428</v>
      </c>
      <c r="O61" s="2490"/>
    </row>
    <row r="62" spans="1:35" ht="12.75">
      <c r="A62" s="3158" t="s">
        <v>2228</v>
      </c>
      <c r="B62" s="3159"/>
      <c r="C62" s="1796"/>
      <c r="D62" s="1796" t="s">
        <v>2229</v>
      </c>
      <c r="E62" s="192" t="s">
        <v>2230</v>
      </c>
      <c r="F62" s="2481"/>
      <c r="G62" s="2481"/>
      <c r="H62" s="2489"/>
      <c r="I62" s="138"/>
    </row>
    <row r="63" spans="1:35" ht="12.75">
      <c r="A63" s="203" t="s">
        <v>775</v>
      </c>
      <c r="B63" s="193" t="s">
        <v>2231</v>
      </c>
      <c r="C63" s="194">
        <f ca="1">ROUND((C64+C65)/(1+'数据-取费表'!C42),0)</f>
        <v>8015</v>
      </c>
      <c r="D63" s="195"/>
      <c r="E63" s="196"/>
      <c r="F63" s="2481"/>
      <c r="G63" s="2481"/>
      <c r="H63" s="2489"/>
      <c r="I63" s="138"/>
      <c r="J63" s="3220" t="s">
        <v>2232</v>
      </c>
      <c r="K63" s="2491" t="s">
        <v>2233</v>
      </c>
      <c r="L63" s="1744">
        <f ca="1">IF(M49&gt;10000,M49*0.5%,IF(AND(M49&gt;1000,M49&lt;=10000),M49*1%,IF(AND(M49&gt;100,M49&lt;=1000),M49*3%,IF(AND(M49&gt;10,M49&lt;=100),M49*5%,M49*8%))))</f>
        <v>84.16</v>
      </c>
      <c r="M63" s="24">
        <f ca="1">ROUND(L63,1)</f>
        <v>84.2</v>
      </c>
      <c r="Z63" s="2415"/>
      <c r="AI63" s="2416"/>
    </row>
    <row r="64" spans="1:35" ht="14.25" customHeight="1">
      <c r="A64" s="197" t="s">
        <v>770</v>
      </c>
      <c r="B64" s="198" t="s">
        <v>2234</v>
      </c>
      <c r="C64" s="199">
        <f ca="1">D45</f>
        <v>8416</v>
      </c>
      <c r="D64" s="200" t="s">
        <v>32</v>
      </c>
      <c r="E64" s="201"/>
      <c r="F64" s="2481"/>
      <c r="G64" s="2481"/>
      <c r="H64" s="2489"/>
      <c r="I64" s="138"/>
      <c r="J64" s="3220"/>
      <c r="K64" s="2491" t="s">
        <v>2235</v>
      </c>
      <c r="L64" s="1744">
        <f ca="1">IF(M49&gt;2000,M49*0.5%,IF(AND(M49&gt;1000,M49&lt;=2000),M49*0.6%,IF(AND(M49&gt;500,M49&lt;=1000),M49*0.7%,IF(AND(M49&gt;200,M49&lt;=500),M49*0.8%,IF(AND(M49&gt;100,M49&lt;=200),M49*0.9%,IF(AND(M49&gt;50,M49&lt;=100),M49*1%,IF(AND(M49&gt;20,M49&lt;=50),M49*1.5%,IF(AND(M49&gt;10,M49&lt;=20),M49*2%,IF(AND(M49&gt;1,M49&lt;=10),M49*2.5%)))))))))</f>
        <v>42.08</v>
      </c>
      <c r="M64" s="24">
        <f t="shared" ref="M64:M65" ca="1" si="1">ROUND(L64,1)</f>
        <v>42.1</v>
      </c>
      <c r="N64" s="138" t="s">
        <v>2236</v>
      </c>
      <c r="Z64" s="2415"/>
      <c r="AI64" s="2416"/>
    </row>
    <row r="65" spans="1:35" ht="14.25" customHeight="1">
      <c r="A65" s="197" t="s">
        <v>771</v>
      </c>
      <c r="B65" s="198" t="s">
        <v>2237</v>
      </c>
      <c r="C65" s="202"/>
      <c r="D65" s="200"/>
      <c r="E65" s="201"/>
      <c r="F65" s="2481"/>
      <c r="G65" s="2481"/>
      <c r="H65" s="2489"/>
      <c r="I65" s="138"/>
      <c r="J65" s="3220"/>
      <c r="K65" s="2491" t="s">
        <v>2238</v>
      </c>
      <c r="L65" s="1744">
        <f ca="1">IF(M49&gt;1000,M49*0.1%,IF(AND(M49&gt;500,M49&lt;=1000),M49*0.5%,IF(AND(M49&gt;50,M49&lt;=500),M49*1%,IF(AND(M49&gt;1,M49&lt;=50),M49*1.5%))))</f>
        <v>8.4160000000000004</v>
      </c>
      <c r="M65" s="24">
        <f t="shared" ca="1" si="1"/>
        <v>8.4</v>
      </c>
      <c r="N65" s="138" t="s">
        <v>2236</v>
      </c>
      <c r="Z65" s="2415"/>
      <c r="AI65" s="2416"/>
    </row>
    <row r="66" spans="1:35" ht="14.25" customHeight="1">
      <c r="A66" s="203" t="s">
        <v>772</v>
      </c>
      <c r="B66" s="204" t="s">
        <v>2239</v>
      </c>
      <c r="C66" s="205"/>
      <c r="D66" s="206" t="s">
        <v>32</v>
      </c>
      <c r="E66" s="1768" t="s">
        <v>1363</v>
      </c>
      <c r="F66" s="2481"/>
      <c r="G66" s="2481"/>
      <c r="H66" s="2489"/>
      <c r="I66" s="138"/>
      <c r="J66" s="3220"/>
      <c r="K66" s="2491" t="s">
        <v>2240</v>
      </c>
      <c r="L66" s="1744">
        <f ca="1">M49*0.5%</f>
        <v>42.08</v>
      </c>
      <c r="M66" s="24">
        <f ca="1">IF(L66&gt;0.5,0.5,ROUND(L66,0))</f>
        <v>0.5</v>
      </c>
      <c r="N66" s="138" t="s">
        <v>2241</v>
      </c>
      <c r="Z66" s="2415"/>
      <c r="AI66" s="2416"/>
    </row>
    <row r="67" spans="1:35" ht="14.25" customHeight="1">
      <c r="A67" s="203" t="s">
        <v>773</v>
      </c>
      <c r="B67" s="204" t="s">
        <v>2242</v>
      </c>
      <c r="C67" s="207">
        <f ca="1">C63-C66</f>
        <v>8015</v>
      </c>
      <c r="D67" s="200" t="s">
        <v>32</v>
      </c>
      <c r="E67" s="201"/>
      <c r="F67" s="2481"/>
      <c r="G67" s="2481"/>
      <c r="H67" s="2489"/>
      <c r="I67" s="138"/>
      <c r="J67" s="3220"/>
      <c r="K67" s="2491" t="s">
        <v>2243</v>
      </c>
      <c r="L67" s="1744">
        <f ca="1">IF(M49&gt;=10000,(8.25+(M49-10000)*0.01%),IF(AND(M49&gt;=8000,M49&lt;10000),(7.85+(M49-8000)*0.02%),IF(AND(M49&gt;=5000,M49&lt;8000),(6.65+(M49-5000)*0.04%),IF(AND(M49&gt;=2000,M49&lt;5000),(4.25+(PM49-2000)*0.08%),IF(AND(M49&gt;=1000,M49&lt;2000),(2.75+(M49-1000)*0.15%),IF(AND(M49&gt;=100,M49&lt;1000),(0.5+(M49-100)*0.25%),IF(AND(M49&gt;0,M49&lt;100),M49*0.5%)))))))</f>
        <v>7.9331999999999994</v>
      </c>
      <c r="M67" s="24">
        <f ca="1">ROUND(L67*0.9,1)</f>
        <v>7.1</v>
      </c>
      <c r="Z67" s="2415"/>
      <c r="AI67" s="2416"/>
    </row>
    <row r="68" spans="1:35" ht="14.25" customHeight="1" thickBot="1">
      <c r="A68" s="208" t="s">
        <v>774</v>
      </c>
      <c r="B68" s="209" t="s">
        <v>2244</v>
      </c>
      <c r="C68" s="210">
        <f ca="1">IF(C67&lt;=0,0,ROUND(C67*D68,0))</f>
        <v>449</v>
      </c>
      <c r="D68" s="211">
        <f>'数据-取费表'!B41</f>
        <v>5.6000000000000001E-2</v>
      </c>
      <c r="E68" s="212"/>
      <c r="F68" s="2481"/>
      <c r="G68" s="2481"/>
      <c r="H68" s="2489"/>
      <c r="I68" s="138"/>
      <c r="J68" s="3220"/>
      <c r="K68" s="2491" t="s">
        <v>2245</v>
      </c>
      <c r="L68" s="1744">
        <f ca="1">IF(M49&gt;10000,M49*0.5%,IF(AND(M49&gt;5000,M49&lt;=10000),M49*1%,IF(AND(M49&gt;1000,M49&lt;=5000),M49*2%,IF(AND(M49&gt;200,M49&lt;=1000),M49*3%,M49*5%))))</f>
        <v>84.16</v>
      </c>
      <c r="M68" s="24">
        <f ca="1">ROUND(L68,1)</f>
        <v>84.2</v>
      </c>
      <c r="Z68" s="2415"/>
      <c r="AI68" s="2416"/>
    </row>
    <row r="69" spans="1:35" s="2438" customFormat="1" ht="16.5" customHeight="1">
      <c r="A69" s="2492"/>
      <c r="B69" s="2493"/>
      <c r="C69" s="2494"/>
      <c r="D69" s="2495"/>
      <c r="E69" s="2496"/>
      <c r="F69" s="2157"/>
      <c r="G69" s="2157"/>
      <c r="H69" s="2156"/>
      <c r="I69" s="2410"/>
      <c r="J69" s="3220"/>
      <c r="K69" s="2491" t="s">
        <v>2246</v>
      </c>
      <c r="L69" s="2497"/>
      <c r="M69" s="24">
        <f ca="1">ROUND(SUM(M63:M68),0)</f>
        <v>227</v>
      </c>
      <c r="N69" s="1745">
        <f ca="1">M69/M49</f>
        <v>2.6972433460076047E-2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79" t="s">
        <v>2247</v>
      </c>
      <c r="B70" s="3180"/>
      <c r="C70" s="3180"/>
      <c r="D70" s="3180"/>
      <c r="E70" s="3180"/>
      <c r="F70" s="3180"/>
      <c r="G70" s="3180"/>
      <c r="H70" s="318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8" t="s">
        <v>2228</v>
      </c>
      <c r="B71" s="3159"/>
      <c r="C71" s="1796"/>
      <c r="D71" s="1796"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8015</v>
      </c>
      <c r="D72" s="200" t="s">
        <v>32</v>
      </c>
      <c r="E72" s="1795"/>
      <c r="F72" s="1789"/>
      <c r="G72" s="1789"/>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48</v>
      </c>
      <c r="D73" s="200" t="s">
        <v>32</v>
      </c>
      <c r="E73" s="1795"/>
      <c r="F73" s="1789"/>
      <c r="G73" s="1789"/>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1795"/>
      <c r="F74" s="1789"/>
      <c r="G74" s="1789"/>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53" t="s">
        <v>2256</v>
      </c>
      <c r="F76" s="3130"/>
      <c r="G76" s="3130"/>
      <c r="H76" s="317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5" t="s">
        <v>2259</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48</v>
      </c>
      <c r="D78" s="226">
        <f>'数据-取费表'!B43</f>
        <v>6.000000000000001E-3</v>
      </c>
      <c r="E78" s="3139" t="s">
        <v>2261</v>
      </c>
      <c r="F78" s="3140"/>
      <c r="G78" s="3140"/>
      <c r="H78" s="314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2262</v>
      </c>
      <c r="C79" s="207">
        <f ca="1">C72-C73</f>
        <v>7967</v>
      </c>
      <c r="D79" s="200" t="s">
        <v>32</v>
      </c>
      <c r="E79" s="1795"/>
      <c r="F79" s="1789"/>
      <c r="G79" s="1789"/>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f ca="1">IF(C79&lt;=0,0,C79/C73)</f>
        <v>165.97916666666666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f ca="1">ROUND(IF(C79&lt;=0,0,IF(C80&gt;=200%,C79*60%-C73*35%,IF(C80&gt;=100%,C79*50%-C73*15%,IF(C80&gt;=50%,C79*40%-C73*5%,IF(C80&lt;50%,C79*30%,0))))),0)</f>
        <v>4763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79" t="s">
        <v>2265</v>
      </c>
      <c r="B83" s="3180"/>
      <c r="C83" s="3180"/>
      <c r="D83" s="3180"/>
      <c r="E83" s="3180"/>
      <c r="F83" s="3180"/>
      <c r="G83" s="3180"/>
      <c r="H83" s="318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8" t="s">
        <v>2228</v>
      </c>
      <c r="B84" s="3159"/>
      <c r="C84" s="1796"/>
      <c r="D84" s="1796"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8015</v>
      </c>
      <c r="D85" s="200" t="s">
        <v>32</v>
      </c>
      <c r="E85" s="1795"/>
      <c r="F85" s="1789"/>
      <c r="G85" s="1789"/>
      <c r="H85" s="234"/>
      <c r="I85" s="2504"/>
      <c r="J85" s="2986">
        <f>'数据-汇总表'!F19/'数据-汇总表'!I7</f>
        <v>979.5222929936308</v>
      </c>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3644</v>
      </c>
      <c r="D86" s="235"/>
      <c r="E86" s="1795"/>
      <c r="F86" s="1789"/>
      <c r="G86" s="1789"/>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 ca="1">C88+C89</f>
        <v>1398</v>
      </c>
      <c r="D87" s="226"/>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f ca="1">成本清单!D39-结果表!I91</f>
        <v>1357</v>
      </c>
      <c r="D88" s="226"/>
      <c r="E88" s="237" t="s">
        <v>2268</v>
      </c>
      <c r="F88" s="1792"/>
      <c r="G88" s="238" t="s">
        <v>2269</v>
      </c>
      <c r="H88" s="2509" t="s">
        <v>3227</v>
      </c>
      <c r="I88" s="2504"/>
      <c r="J88" s="2994" t="e">
        <f ca="1">ROUND((#REF!-结果表!I91*10000)/10000,0)</f>
        <v>#REF!</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 ca="1">ROUND(C88*D89,0)</f>
        <v>41</v>
      </c>
      <c r="D89" s="226">
        <f>'数据-取费表'!B48+'数据-取费表'!B49</f>
        <v>3.0499999999999999E-2</v>
      </c>
      <c r="E89" s="237" t="s">
        <v>2270</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 ca="1">IF(H91="——",成本法!C33,I91)</f>
        <v>1368</v>
      </c>
      <c r="D91" s="226"/>
      <c r="E91" s="3139" t="s">
        <v>2274</v>
      </c>
      <c r="F91" s="3140"/>
      <c r="G91" s="3140"/>
      <c r="H91" s="2510" t="s">
        <v>2275</v>
      </c>
      <c r="I91" s="2511">
        <f ca="1">ROUND(收益法!C29+'收益法 (地下)'!C29/10000,0)</f>
        <v>1368</v>
      </c>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 ca="1">ROUND((C87+C90+C91)*D92,0)</f>
        <v>277</v>
      </c>
      <c r="D92" s="226">
        <v>0.1</v>
      </c>
      <c r="E92" s="3139" t="s">
        <v>2278</v>
      </c>
      <c r="F92" s="3140"/>
      <c r="G92" s="3140"/>
      <c r="H92" s="314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48</v>
      </c>
      <c r="D93" s="226">
        <f>'数据-取费表'!B43</f>
        <v>6.000000000000001E-3</v>
      </c>
      <c r="E93" s="3139" t="s">
        <v>2261</v>
      </c>
      <c r="F93" s="3140"/>
      <c r="G93" s="3140"/>
      <c r="H93" s="314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 ca="1">ROUND((C87+C90+C91)*D94,0)</f>
        <v>553</v>
      </c>
      <c r="D94" s="226">
        <v>0.2</v>
      </c>
      <c r="E94" s="3150" t="s">
        <v>2282</v>
      </c>
      <c r="F94" s="3151"/>
      <c r="G94" s="3151"/>
      <c r="H94" s="315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2262</v>
      </c>
      <c r="C95" s="207">
        <f ca="1">ROUND(C85-C86,0)</f>
        <v>4371</v>
      </c>
      <c r="D95" s="200" t="s">
        <v>32</v>
      </c>
      <c r="E95" s="1795"/>
      <c r="F95" s="1789"/>
      <c r="G95" s="1789"/>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f ca="1">IF(C95&lt;=0,0,C95/C86)</f>
        <v>1.1995060373216246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89"/>
      <c r="G96" s="1789"/>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f ca="1">ROUND(IF(C95&lt;=0,0,IF(C96&gt;=200%,C95*60%-C86*35%,IF(C96&gt;=100%,C95*50%-C86*15%,IF(C96&gt;=50%,C95*40%-C86*5%,IF(C96&lt;50%,C95*30%,0))))),0)</f>
        <v>1639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7"/>
      <c r="F98" s="2157"/>
      <c r="G98" s="2157"/>
      <c r="H98" s="2156"/>
      <c r="I98" s="138"/>
    </row>
    <row r="99" spans="1:35" ht="21.75" customHeight="1" thickBot="1">
      <c r="A99" s="2466" t="s">
        <v>2283</v>
      </c>
      <c r="B99" s="2410"/>
      <c r="C99" s="2410"/>
      <c r="D99" s="2410"/>
      <c r="E99" s="2157"/>
      <c r="F99" s="2157"/>
      <c r="G99" s="2157"/>
      <c r="H99" s="2156"/>
      <c r="I99" s="138"/>
    </row>
    <row r="100" spans="1:35" ht="18.75" customHeight="1">
      <c r="A100" s="3124" t="s">
        <v>2284</v>
      </c>
      <c r="B100" s="3125"/>
      <c r="C100" s="3125"/>
      <c r="D100" s="3141"/>
      <c r="E100" s="3125" t="s">
        <v>2285</v>
      </c>
      <c r="F100" s="3125"/>
      <c r="G100" s="3125"/>
      <c r="H100" s="3141"/>
      <c r="I100" s="138"/>
    </row>
    <row r="101" spans="1:35" ht="18.75" customHeight="1">
      <c r="A101" s="3203" t="s">
        <v>2286</v>
      </c>
      <c r="B101" s="3204"/>
      <c r="C101" s="732" t="str">
        <f>C4</f>
        <v>收益法（汇总）</v>
      </c>
      <c r="D101" s="733" t="str">
        <f>D4</f>
        <v>典型户型修正</v>
      </c>
      <c r="E101" s="3217" t="s">
        <v>2287</v>
      </c>
      <c r="F101" s="3171"/>
      <c r="G101" s="2512" t="s">
        <v>2288</v>
      </c>
      <c r="H101" s="1041">
        <f ca="1">H118</f>
        <v>8416</v>
      </c>
      <c r="I101" s="138"/>
    </row>
    <row r="102" spans="1:35" ht="18.75" customHeight="1">
      <c r="A102" s="3173" t="s">
        <v>2289</v>
      </c>
      <c r="B102" s="2512" t="s">
        <v>2288</v>
      </c>
      <c r="C102" s="732">
        <f ca="1">C19</f>
        <v>5986</v>
      </c>
      <c r="D102" s="733">
        <f ca="1">D19</f>
        <v>11385</v>
      </c>
      <c r="E102" s="3217"/>
      <c r="F102" s="3171"/>
      <c r="G102" s="2512" t="s">
        <v>2290</v>
      </c>
      <c r="H102" s="371">
        <f ca="1">I118</f>
        <v>27186</v>
      </c>
      <c r="I102" s="138"/>
    </row>
    <row r="103" spans="1:35" ht="42.75" customHeight="1">
      <c r="A103" s="3173"/>
      <c r="B103" s="2512" t="s">
        <v>2290</v>
      </c>
      <c r="C103" s="734">
        <f ca="1">C20</f>
        <v>19337</v>
      </c>
      <c r="D103" s="735">
        <f ca="1">D20</f>
        <v>36777</v>
      </c>
      <c r="E103" s="3212" t="s">
        <v>2291</v>
      </c>
      <c r="F103" s="3213"/>
      <c r="G103" s="2513" t="s">
        <v>2292</v>
      </c>
      <c r="H103" s="1041">
        <f>IF(D36="正常操作",H104+H105+H106,H105+H106)</f>
        <v>0</v>
      </c>
      <c r="I103" s="138"/>
    </row>
    <row r="104" spans="1:35" ht="18.75" customHeight="1">
      <c r="A104" s="3173" t="s">
        <v>2293</v>
      </c>
      <c r="B104" s="2514" t="s">
        <v>2288</v>
      </c>
      <c r="C104" s="736">
        <f ca="1">H118</f>
        <v>8416</v>
      </c>
      <c r="D104" s="737"/>
      <c r="E104" s="2258" t="s">
        <v>2294</v>
      </c>
      <c r="F104" s="2249"/>
      <c r="G104" s="2513" t="s">
        <v>2292</v>
      </c>
      <c r="H104" s="1042">
        <f>IF(D36="同一抵押权人同一抵押物续贷",C36&amp;"（未扣减，详见特别提示）",C36)</f>
        <v>0</v>
      </c>
      <c r="I104" s="138"/>
    </row>
    <row r="105" spans="1:35" ht="18.75" customHeight="1" thickBot="1">
      <c r="A105" s="3174"/>
      <c r="B105" s="2515" t="s">
        <v>2290</v>
      </c>
      <c r="C105" s="738">
        <f ca="1">I118</f>
        <v>27186</v>
      </c>
      <c r="D105" s="739"/>
      <c r="E105" s="2258" t="s">
        <v>2295</v>
      </c>
      <c r="F105" s="2249"/>
      <c r="G105" s="2513" t="s">
        <v>2292</v>
      </c>
      <c r="H105" s="1042">
        <f>C37</f>
        <v>0</v>
      </c>
      <c r="I105" s="138"/>
    </row>
    <row r="106" spans="1:35" ht="18.75" customHeight="1">
      <c r="A106" s="2410" t="s">
        <v>2296</v>
      </c>
      <c r="B106" s="2410"/>
      <c r="C106" s="2410"/>
      <c r="D106" s="2410"/>
      <c r="E106" s="2516" t="s">
        <v>2297</v>
      </c>
      <c r="F106" s="2249"/>
      <c r="G106" s="2513" t="s">
        <v>2292</v>
      </c>
      <c r="H106" s="1042">
        <f>C38</f>
        <v>0</v>
      </c>
      <c r="I106" s="138"/>
    </row>
    <row r="107" spans="1:35" ht="18.75" customHeight="1">
      <c r="A107" s="138"/>
      <c r="B107" s="138"/>
      <c r="C107" s="138"/>
      <c r="D107" s="138"/>
      <c r="E107" s="3170" t="str">
        <f>IF(项目基本情况!E8="已注销","——","3.房地产抵押价值")</f>
        <v>3.房地产抵押价值</v>
      </c>
      <c r="F107" s="3171"/>
      <c r="G107" s="2512" t="s">
        <v>2288</v>
      </c>
      <c r="H107" s="1041">
        <f ca="1">IF(E107="——","——",H101-H103)</f>
        <v>8416</v>
      </c>
      <c r="I107" s="138"/>
    </row>
    <row r="108" spans="1:35" ht="18.75" customHeight="1">
      <c r="A108" s="138"/>
      <c r="B108" s="138"/>
      <c r="C108" s="138"/>
      <c r="D108" s="138"/>
      <c r="E108" s="3170"/>
      <c r="F108" s="3171"/>
      <c r="G108" s="2512" t="s">
        <v>2290</v>
      </c>
      <c r="H108" s="371">
        <f ca="1">ROUND(H107*10000/'数据-汇总表'!E3,0)</f>
        <v>27186</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12" t="s">
        <v>2288</v>
      </c>
      <c r="H109" s="348" t="str">
        <f>IF(E109="——","——",H101-H105-H106)</f>
        <v>——</v>
      </c>
      <c r="I109" s="138"/>
    </row>
    <row r="110" spans="1:35" ht="18.75" customHeight="1">
      <c r="A110" s="138"/>
      <c r="B110" s="138"/>
      <c r="C110" s="138"/>
      <c r="D110" s="138"/>
      <c r="E110" s="3170"/>
      <c r="F110" s="3171"/>
      <c r="G110" s="2512" t="s">
        <v>2290</v>
      </c>
      <c r="H110" s="371" t="str">
        <f>IF(H109="——","——",ROUND(H109*10000/'数据-汇总表'!E3,0))</f>
        <v>——</v>
      </c>
      <c r="I110" s="138"/>
    </row>
    <row r="111" spans="1:35" ht="18.75" customHeight="1">
      <c r="A111" s="138"/>
      <c r="B111" s="138"/>
      <c r="C111" s="138"/>
      <c r="D111" s="138"/>
      <c r="E111" s="3205" t="str">
        <f>IF(项目基本情况!E9="抵押净值",IF(OR(项目基本情况!E8="已注销",项目基本情况!E8="房地产抵押价值"),"4.抵押净值","5.抵押净值"),"——")</f>
        <v>——</v>
      </c>
      <c r="F111" s="3206"/>
      <c r="G111" s="2512" t="s">
        <v>2288</v>
      </c>
      <c r="H111" s="1041" t="str">
        <f>IF(E111="——","——",N59)</f>
        <v>——</v>
      </c>
      <c r="I111" s="138"/>
    </row>
    <row r="112" spans="1:35" ht="18.75" customHeight="1" thickBot="1">
      <c r="A112" s="138"/>
      <c r="B112" s="138"/>
      <c r="C112" s="138"/>
      <c r="D112" s="138"/>
      <c r="E112" s="3207"/>
      <c r="F112" s="3208"/>
      <c r="G112" s="2517" t="s">
        <v>2290</v>
      </c>
      <c r="H112" s="786" t="str">
        <f>IF(E111="——","——",N61)</f>
        <v>——</v>
      </c>
      <c r="I112" s="138"/>
    </row>
    <row r="113" spans="1:11" ht="18.75" customHeight="1">
      <c r="A113" s="138"/>
      <c r="B113" s="138"/>
      <c r="C113" s="138"/>
      <c r="D113" s="138"/>
      <c r="E113" s="3175" t="s">
        <v>2296</v>
      </c>
      <c r="F113" s="3175"/>
      <c r="G113" s="3175"/>
      <c r="H113" s="3175"/>
      <c r="I113" s="138"/>
    </row>
    <row r="114" spans="1:11" ht="3.75" customHeight="1">
      <c r="A114" s="2410"/>
      <c r="B114" s="2410"/>
      <c r="C114" s="2410"/>
      <c r="D114" s="2410"/>
      <c r="E114" s="2488"/>
      <c r="F114" s="2488"/>
      <c r="G114" s="2488"/>
      <c r="H114" s="2488"/>
      <c r="I114" s="2410"/>
    </row>
    <row r="115" spans="1:11" ht="18.75" customHeight="1">
      <c r="A115" s="3188" t="s">
        <v>2298</v>
      </c>
      <c r="B115" s="3189"/>
      <c r="C115" s="3189"/>
      <c r="D115" s="3189"/>
      <c r="E115" s="3189"/>
      <c r="F115" s="3189"/>
      <c r="G115" s="3189"/>
      <c r="H115" s="3189"/>
      <c r="I115" s="3190"/>
    </row>
    <row r="116" spans="1:11" ht="27" customHeight="1">
      <c r="A116" s="3081" t="s">
        <v>2299</v>
      </c>
      <c r="B116" s="3176" t="s">
        <v>2300</v>
      </c>
      <c r="C116" s="3176" t="s">
        <v>2301</v>
      </c>
      <c r="D116" s="3192" t="s">
        <v>2302</v>
      </c>
      <c r="E116" s="3193"/>
      <c r="F116" s="3184" t="s">
        <v>2303</v>
      </c>
      <c r="G116" s="3184"/>
      <c r="H116" s="3081" t="s">
        <v>2304</v>
      </c>
      <c r="I116" s="3081"/>
    </row>
    <row r="117" spans="1:11" ht="18.75" customHeight="1">
      <c r="A117" s="3081"/>
      <c r="B117" s="3177"/>
      <c r="C117" s="3177"/>
      <c r="D117" s="1790" t="s">
        <v>2305</v>
      </c>
      <c r="E117" s="1790" t="s">
        <v>2306</v>
      </c>
      <c r="F117" s="1790" t="s">
        <v>2305</v>
      </c>
      <c r="G117" s="1790" t="s">
        <v>2307</v>
      </c>
      <c r="H117" s="1790" t="s">
        <v>2305</v>
      </c>
      <c r="I117" s="1790" t="s">
        <v>2307</v>
      </c>
    </row>
    <row r="118" spans="1:11" ht="24.75" customHeight="1">
      <c r="A118" s="2518" t="str">
        <f>项目基本情况!S2</f>
        <v>北京市朝阳区朝阳路67号9号楼、10号楼、1号楼等35套商业用房房地产</v>
      </c>
      <c r="B118" s="1790">
        <f>M18</f>
        <v>3095.6800000000007</v>
      </c>
      <c r="C118" s="1790">
        <f>M19</f>
        <v>0</v>
      </c>
      <c r="D118" s="1790">
        <f ca="1">ROUND(IF(D32="总价",C34,E118*B118/10000),0)</f>
        <v>6413</v>
      </c>
      <c r="E118" s="1790">
        <f ca="1">ROUND(IF(C33="自定义",IF(D32="楼面单价",C34,D118*10000/B118),I118-G118),0)</f>
        <v>20716</v>
      </c>
      <c r="F118" s="1790">
        <f ca="1">ROUND(IF(D32="总价",C35,G118*B118/10000),0)</f>
        <v>2003</v>
      </c>
      <c r="G118" s="1790">
        <f ca="1">ROUND(IF(D32="楼面单价",C35,F118*10000/B118),0)</f>
        <v>6470</v>
      </c>
      <c r="H118" s="1790">
        <f ca="1">ROUND(IF(D32="总价",C32,I118*B118/10000),0)</f>
        <v>8416</v>
      </c>
      <c r="I118" s="1790">
        <f ca="1">ROUND(IF(D32="楼面单价",C32,H118*10000/B118),0)</f>
        <v>27186</v>
      </c>
    </row>
    <row r="119" spans="1:11" ht="18.75" customHeight="1">
      <c r="A119" s="3081" t="s">
        <v>2308</v>
      </c>
      <c r="B119" s="3081"/>
      <c r="C119" s="3081"/>
      <c r="D119" s="3181" t="str">
        <f ca="1">NUMBERSTRING(INT(D118*10000),2)&amp;"元整"</f>
        <v>陆仟肆佰壹拾叁万元整</v>
      </c>
      <c r="E119" s="3183"/>
      <c r="F119" s="3181" t="str">
        <f ca="1">NUMBERSTRING(INT(F118*10000),2)&amp;"元整"</f>
        <v>贰仟零叁万元整</v>
      </c>
      <c r="G119" s="3183"/>
      <c r="H119" s="3181" t="str">
        <f ca="1">NUMBERSTRING(INT(H118*10000),2)&amp;"元整"</f>
        <v>捌仟肆佰壹拾陆万元整</v>
      </c>
      <c r="I119" s="3183"/>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5" t="str">
        <f>IF(D120=0,"故，本次评估不存在"&amp;A120,"故，本次评估"&amp;A120&amp;"为人民币"&amp;D120&amp;"万元整。")</f>
        <v>故，本次评估不存在估价师知悉的法定优先受偿款</v>
      </c>
    </row>
    <row r="121" spans="1:11" ht="18.75" customHeight="1">
      <c r="A121" s="3185" t="s">
        <v>2308</v>
      </c>
      <c r="B121" s="3186"/>
      <c r="C121" s="3187"/>
      <c r="D121" s="3181" t="str">
        <f>IF(D120=0,"零元整",NUMBERSTRING(INT(D120*10000),2)&amp;"元整")</f>
        <v>零元整</v>
      </c>
      <c r="E121" s="3182"/>
      <c r="F121" s="3182"/>
      <c r="G121" s="3182"/>
      <c r="H121" s="3182"/>
      <c r="I121" s="3183"/>
    </row>
    <row r="122" spans="1:11" ht="18.75" customHeight="1">
      <c r="A122" s="3172" t="str">
        <f>IF(项目基本情况!B9="房地产市场价值","",MID(E107,3,LEN(E107)-2))</f>
        <v>房地产抵押价值</v>
      </c>
      <c r="B122" s="3172"/>
      <c r="C122" s="3172"/>
      <c r="D122" s="3209">
        <f ca="1">H107</f>
        <v>8416</v>
      </c>
      <c r="E122" s="3210"/>
      <c r="F122" s="3210"/>
      <c r="G122" s="3210"/>
      <c r="H122" s="3210"/>
      <c r="I122" s="3211"/>
    </row>
    <row r="123" spans="1:11" ht="18.75" customHeight="1">
      <c r="A123" s="3081" t="s">
        <v>2308</v>
      </c>
      <c r="B123" s="3081"/>
      <c r="C123" s="3081"/>
      <c r="D123" s="3181" t="str">
        <f ca="1">NUMBERSTRING(INT(D122*10000),2)&amp;"元整"</f>
        <v>捌仟肆佰壹拾陆万元整</v>
      </c>
      <c r="E123" s="3182"/>
      <c r="F123" s="3182"/>
      <c r="G123" s="3182"/>
      <c r="H123" s="3182"/>
      <c r="I123" s="3183"/>
    </row>
    <row r="124" spans="1:11" ht="18.75" customHeight="1">
      <c r="A124" s="3172" t="str">
        <f>IF(项目基本情况!B9="房地产市场价值","",MID(E109,3,LEN(E109)-2))</f>
        <v/>
      </c>
      <c r="B124" s="3172"/>
      <c r="C124" s="3172"/>
      <c r="D124" s="3209" t="str">
        <f>H109</f>
        <v>——</v>
      </c>
      <c r="E124" s="3210"/>
      <c r="F124" s="3210"/>
      <c r="G124" s="3210"/>
      <c r="H124" s="3210"/>
      <c r="I124" s="3211"/>
    </row>
    <row r="125" spans="1:11" ht="18.75" customHeight="1">
      <c r="A125" s="3081" t="s">
        <v>2308</v>
      </c>
      <c r="B125" s="3081"/>
      <c r="C125" s="3081"/>
      <c r="D125" s="3181" t="e">
        <f>NUMBERSTRING(INT(D124*10000),2)&amp;"元整"</f>
        <v>#VALUE!</v>
      </c>
      <c r="E125" s="3182"/>
      <c r="F125" s="3182"/>
      <c r="G125" s="3182"/>
      <c r="H125" s="3182"/>
      <c r="I125" s="3183"/>
    </row>
    <row r="126" spans="1:11" ht="18.75" customHeight="1">
      <c r="A126" s="3172" t="str">
        <f>IF(项目基本情况!B9="房地产市场价值","",MID(E111,3,LEN(E111)-2))</f>
        <v/>
      </c>
      <c r="B126" s="3172"/>
      <c r="C126" s="3172"/>
      <c r="D126" s="3209" t="str">
        <f>H111</f>
        <v>——</v>
      </c>
      <c r="E126" s="3210"/>
      <c r="F126" s="3210"/>
      <c r="G126" s="3210"/>
      <c r="H126" s="3210"/>
      <c r="I126" s="3211"/>
    </row>
    <row r="127" spans="1:11" ht="18.75" customHeight="1">
      <c r="A127" s="3081" t="s">
        <v>2308</v>
      </c>
      <c r="B127" s="3081"/>
      <c r="C127" s="3081"/>
      <c r="D127" s="3181" t="e">
        <f>NUMBERSTRING(INT(D126*10000),2)&amp;"元整"</f>
        <v>#VALUE!</v>
      </c>
      <c r="E127" s="3182"/>
      <c r="F127" s="3182"/>
      <c r="G127" s="3182"/>
      <c r="H127" s="3182"/>
      <c r="I127" s="3183"/>
    </row>
    <row r="128" spans="1:11" ht="21.75" customHeight="1">
      <c r="A128" s="3191" t="s">
        <v>2309</v>
      </c>
      <c r="B128" s="3191"/>
      <c r="C128" s="3191"/>
      <c r="D128" s="3191"/>
      <c r="E128" s="3191"/>
      <c r="F128" s="3191"/>
      <c r="G128" s="3191"/>
      <c r="H128" s="3191"/>
      <c r="I128" s="3191"/>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2312</v>
      </c>
      <c r="G135" s="2536"/>
      <c r="H135" s="2536"/>
      <c r="I135" s="2537" t="s">
        <v>2313</v>
      </c>
    </row>
    <row r="136" spans="1:35" ht="21.75" customHeight="1">
      <c r="A136" s="791"/>
      <c r="B136" s="2538" t="s">
        <v>2314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2315</v>
      </c>
    </row>
    <row r="139" spans="1:35" ht="21.75" customHeight="1">
      <c r="A139" s="791"/>
      <c r="B139" s="2538" t="s">
        <v>2316</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2315</v>
      </c>
    </row>
    <row r="142" spans="1:35" ht="21.75" customHeight="1">
      <c r="A142" s="791"/>
      <c r="B142" s="2538"/>
      <c r="C142" s="2539"/>
      <c r="D142" s="2540"/>
      <c r="E142" s="2540"/>
      <c r="F142" s="2332"/>
      <c r="G142" s="791"/>
      <c r="H142" s="791"/>
      <c r="I142" s="791"/>
    </row>
    <row r="143" spans="1:35" s="139" customFormat="1" ht="21.75" customHeight="1">
      <c r="A143" s="791"/>
      <c r="B143" s="2538"/>
      <c r="C143" s="2539"/>
      <c r="D143" s="2540"/>
      <c r="E143" s="2540"/>
      <c r="F143" s="233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2" t="s">
        <v>3160</v>
      </c>
      <c r="C1" s="242"/>
      <c r="D1" s="242"/>
      <c r="E1" s="242"/>
      <c r="F1" s="242"/>
      <c r="G1" s="1375">
        <f>MATCH(B1,'数据-取费表'!A6:A16,0)+5</f>
        <v>6</v>
      </c>
    </row>
    <row r="2" spans="1:9" s="244" customFormat="1" ht="18" customHeight="1">
      <c r="A2" s="245" t="s">
        <v>2318</v>
      </c>
      <c r="B2" s="246">
        <f ca="1">IF(D2="——",C52,C52-E2)</f>
        <v>1173</v>
      </c>
      <c r="C2" s="243" t="s">
        <v>2319</v>
      </c>
      <c r="D2" s="2541" t="s">
        <v>70</v>
      </c>
      <c r="E2" s="1436">
        <f ca="1">SUMIF(INDIRECT("'"&amp;G2&amp;"'"&amp;"!A:A"),"承租人权益价值",INDIRECT("'"&amp;G2&amp;"'"&amp;"!c:c"))</f>
        <v>0</v>
      </c>
      <c r="F2" s="2542" t="s">
        <v>2319</v>
      </c>
      <c r="G2" s="2543" t="s">
        <v>3166</v>
      </c>
    </row>
    <row r="3" spans="1:9" s="244" customFormat="1" ht="18" customHeight="1" thickBot="1">
      <c r="A3" s="247" t="s">
        <v>2320</v>
      </c>
      <c r="B3" s="248">
        <f ca="1">ROUND(B2*10000/(IF(B1="",'数据-汇总表'!E3,INDIRECT("'数据-取费表'!k"&amp;$G$1))),0)</f>
        <v>3814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5" t="s">
        <v>2328</v>
      </c>
      <c r="B6" s="259" t="s">
        <v>2329</v>
      </c>
      <c r="C6" s="260"/>
      <c r="D6" s="261"/>
      <c r="E6" s="262"/>
      <c r="F6" s="262"/>
      <c r="G6" s="263"/>
    </row>
    <row r="7" spans="1:9" s="258" customFormat="1" ht="13.5" customHeight="1">
      <c r="A7" s="945" t="s">
        <v>2330</v>
      </c>
      <c r="B7" s="259" t="s">
        <v>2331</v>
      </c>
      <c r="C7" s="264">
        <f>ROUND(C6*F7,0)</f>
        <v>0</v>
      </c>
      <c r="D7" s="264"/>
      <c r="E7" s="262"/>
      <c r="F7" s="265">
        <f>'数据-取费表'!B48+'数据-取费表'!B49</f>
        <v>3.0499999999999999E-2</v>
      </c>
      <c r="G7" s="263"/>
    </row>
    <row r="8" spans="1:9" s="267" customFormat="1">
      <c r="A8" s="945" t="s">
        <v>2332</v>
      </c>
      <c r="B8" s="259" t="s">
        <v>2333</v>
      </c>
      <c r="C8" s="264" t="str">
        <f>IF(G8="已包含在土地购买价格中","0",IF(B1="",'数据-取费表'!B29,IF(G9="全部缴纳",C9+C10,H9)))</f>
        <v>0</v>
      </c>
      <c r="D8" s="266"/>
      <c r="E8" s="264"/>
      <c r="F8" s="265"/>
      <c r="G8" s="2544" t="s">
        <v>1145</v>
      </c>
    </row>
    <row r="9" spans="1:9" s="258" customFormat="1" ht="13.5" customHeight="1">
      <c r="A9" s="946" t="s">
        <v>800</v>
      </c>
      <c r="B9" s="268" t="s">
        <v>2334</v>
      </c>
      <c r="C9" s="269">
        <f ca="1">ROUND(D9*E9/10000,0)</f>
        <v>0</v>
      </c>
      <c r="D9" s="1028">
        <f ca="1">IF(B1="",'数据-汇总表'!E5,IF(INDIRECT("'数据-取费表'!c"&amp;$G$1)="住宅",INDIRECT("'数据-取费表'!k"&amp;$G$1),0))</f>
        <v>0</v>
      </c>
      <c r="E9" s="269">
        <f>'数据-取费表'!B27</f>
        <v>160</v>
      </c>
      <c r="F9" s="265"/>
      <c r="G9" s="2545" t="s">
        <v>3167</v>
      </c>
      <c r="H9" s="1386"/>
      <c r="I9" s="2546" t="s">
        <v>2335</v>
      </c>
    </row>
    <row r="10" spans="1:9" s="258" customFormat="1" ht="13.5" customHeight="1">
      <c r="A10" s="946" t="s">
        <v>801</v>
      </c>
      <c r="B10" s="268" t="s">
        <v>2336</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2337</v>
      </c>
      <c r="C11" s="255"/>
      <c r="D11" s="1030"/>
      <c r="E11" s="262"/>
      <c r="F11" s="262"/>
      <c r="G11" s="263"/>
    </row>
    <row r="12" spans="1:9" s="258" customFormat="1" ht="13.5" hidden="1" customHeight="1">
      <c r="A12" s="271" t="s">
        <v>8</v>
      </c>
      <c r="B12" s="259" t="s">
        <v>2338</v>
      </c>
      <c r="C12" s="255">
        <v>0</v>
      </c>
      <c r="D12" s="1030"/>
      <c r="E12" s="272"/>
      <c r="F12" s="265">
        <v>3.0499999999999999E-2</v>
      </c>
      <c r="G12" s="263"/>
    </row>
    <row r="13" spans="1:9" s="258" customFormat="1" ht="13.5" hidden="1" customHeight="1">
      <c r="A13" s="271" t="s">
        <v>9</v>
      </c>
      <c r="B13" s="259" t="s">
        <v>2339</v>
      </c>
      <c r="C13" s="255"/>
      <c r="D13" s="1030"/>
      <c r="E13" s="262"/>
      <c r="F13" s="262"/>
      <c r="G13" s="263"/>
    </row>
    <row r="14" spans="1:9" s="258" customFormat="1" ht="13.5" hidden="1" customHeight="1">
      <c r="A14" s="271" t="s">
        <v>10</v>
      </c>
      <c r="B14" s="259" t="s">
        <v>2340</v>
      </c>
      <c r="C14" s="255"/>
      <c r="D14" s="1030"/>
      <c r="E14" s="262"/>
      <c r="F14" s="262"/>
      <c r="G14" s="263" t="s">
        <v>2341</v>
      </c>
    </row>
    <row r="15" spans="1:9" s="258" customFormat="1" ht="13.5" hidden="1" customHeight="1">
      <c r="A15" s="271" t="s">
        <v>11</v>
      </c>
      <c r="B15" s="259" t="s">
        <v>2342</v>
      </c>
      <c r="C15" s="264"/>
      <c r="D15" s="1030"/>
      <c r="E15" s="262"/>
      <c r="F15" s="262"/>
      <c r="G15" s="263" t="s">
        <v>2343</v>
      </c>
    </row>
    <row r="16" spans="1:9" s="258" customFormat="1" ht="13.5" hidden="1" customHeight="1">
      <c r="A16" s="271" t="s">
        <v>12</v>
      </c>
      <c r="B16" s="259" t="s">
        <v>2340</v>
      </c>
      <c r="C16" s="264"/>
      <c r="D16" s="1030"/>
      <c r="E16" s="262"/>
      <c r="F16" s="262"/>
      <c r="G16" s="263"/>
    </row>
    <row r="17" spans="1:7" s="258" customFormat="1" ht="13.5" hidden="1" customHeight="1">
      <c r="A17" s="271" t="s">
        <v>13</v>
      </c>
      <c r="B17" s="259" t="s">
        <v>2344</v>
      </c>
      <c r="C17" s="273"/>
      <c r="D17" s="1031"/>
      <c r="E17" s="273"/>
      <c r="F17" s="273"/>
      <c r="G17" s="263" t="s">
        <v>2343</v>
      </c>
    </row>
    <row r="18" spans="1:7" s="258" customFormat="1" ht="13.5" hidden="1" customHeight="1">
      <c r="A18" s="271" t="s">
        <v>14</v>
      </c>
      <c r="B18" s="259" t="s">
        <v>2345</v>
      </c>
      <c r="C18" s="264">
        <v>0</v>
      </c>
      <c r="D18" s="1030"/>
      <c r="E18" s="262"/>
      <c r="F18" s="265">
        <v>3.0499999999999999E-2</v>
      </c>
      <c r="G18" s="263" t="s">
        <v>2346</v>
      </c>
    </row>
    <row r="19" spans="1:7" s="267" customFormat="1" ht="13.5" customHeight="1">
      <c r="A19" s="299" t="s">
        <v>2347</v>
      </c>
      <c r="B19" s="254" t="s">
        <v>2348</v>
      </c>
      <c r="C19" s="255">
        <f ca="1">IF(G19="已包含在土地取得成本中","0",ROUND(D19*E19/10000,0))</f>
        <v>62</v>
      </c>
      <c r="D19" s="1032">
        <f ca="1">D9+D10</f>
        <v>3075.7000000000007</v>
      </c>
      <c r="E19" s="255">
        <f>'数据-取费表'!B31</f>
        <v>200</v>
      </c>
      <c r="F19" s="275"/>
      <c r="G19" s="2544" t="s">
        <v>1071</v>
      </c>
    </row>
    <row r="20" spans="1:7" s="258" customFormat="1" ht="13.5" customHeight="1">
      <c r="A20" s="299" t="s">
        <v>2349</v>
      </c>
      <c r="B20" s="254" t="s">
        <v>2350</v>
      </c>
      <c r="C20" s="276">
        <f ca="1">ROUND((C5+C19)*F20,0)</f>
        <v>1</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0">
        <f ca="1">ROUND(SUM(C23:C25),0)</f>
        <v>6</v>
      </c>
      <c r="D22" s="279">
        <f ca="1">C26</f>
        <v>1E-3</v>
      </c>
      <c r="E22" s="280" t="s">
        <v>2354</v>
      </c>
      <c r="F22" s="281">
        <f ca="1">'数据-取费表'!B40</f>
        <v>4.7500000000000001E-2</v>
      </c>
      <c r="G22" s="278" t="str">
        <f>IF('数据-取费表'!B22&lt;=1,"单利计息","复利计息")</f>
        <v>复利计息</v>
      </c>
    </row>
    <row r="23" spans="1:7" s="258" customFormat="1" ht="13.5" customHeight="1">
      <c r="A23" s="947" t="s">
        <v>2358</v>
      </c>
      <c r="B23" s="259" t="s">
        <v>2359</v>
      </c>
      <c r="C23" s="1351">
        <f ca="1">ROUND(IF('数据-取费表'!B22&lt;=1,C5*F22*'数据-取费表'!B23,C5*(POWER((1+F22),'数据-取费表'!B23)-1)),0)</f>
        <v>0</v>
      </c>
      <c r="D23" s="282"/>
      <c r="E23" s="282"/>
      <c r="F23" s="283"/>
      <c r="G23" s="284" t="s">
        <v>2360</v>
      </c>
    </row>
    <row r="24" spans="1:7" s="258" customFormat="1" ht="13.5" customHeight="1">
      <c r="A24" s="947" t="s">
        <v>2361</v>
      </c>
      <c r="B24" s="259" t="s">
        <v>2362</v>
      </c>
      <c r="C24" s="1351">
        <f ca="1">ROUND(IF('数据-取费表'!B22&lt;=1,C19*F22*('数据-取费表'!B19/2+'数据-取费表'!B21),C19*(POWER((1+F22),('数据-取费表'!B19/2+'数据-取费表'!B21))-1)),0)</f>
        <v>6</v>
      </c>
      <c r="D24" s="282"/>
      <c r="E24" s="282"/>
      <c r="F24" s="283"/>
      <c r="G24" s="284" t="s">
        <v>2363</v>
      </c>
    </row>
    <row r="25" spans="1:7" s="258" customFormat="1" ht="24">
      <c r="A25" s="947" t="s">
        <v>2364</v>
      </c>
      <c r="B25" s="259" t="s">
        <v>2365</v>
      </c>
      <c r="C25" s="1351">
        <f ca="1">ROUND(IF('数据-取费表'!B22&lt;=1,C20*F22*'数据-取费表'!B23/2,C20*(POWER((1+F22),'数据-取费表'!B23/2)-1)),0)</f>
        <v>0</v>
      </c>
      <c r="D25" s="282"/>
      <c r="E25" s="285"/>
      <c r="F25" s="283"/>
      <c r="G25" s="286" t="s">
        <v>2366</v>
      </c>
    </row>
    <row r="26" spans="1:7" s="258" customFormat="1">
      <c r="A26" s="947" t="s">
        <v>795</v>
      </c>
      <c r="B26" s="259" t="s">
        <v>2367</v>
      </c>
      <c r="C26" s="282">
        <f ca="1">ROUND(IF('数据-取费表'!B22&lt;=1,F21*F22*'数据-取费表'!B23/2,F21*(POWER((1+F22),'数据-取费表'!B23/2)-1)),4)</f>
        <v>1E-3</v>
      </c>
      <c r="D26" s="282"/>
      <c r="E26" s="285"/>
      <c r="F26" s="283"/>
      <c r="G26" s="287"/>
    </row>
    <row r="27" spans="1:7" s="258" customFormat="1" ht="24.75">
      <c r="A27" s="299" t="s">
        <v>2368</v>
      </c>
      <c r="B27" s="288" t="s">
        <v>2369</v>
      </c>
      <c r="C27" s="289">
        <f ca="1">C28</f>
        <v>9</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ROUND((C5+C19+C20)*F27*'数据-取费表'!B21/'数据-取费表'!B20,0)</f>
        <v>9</v>
      </c>
      <c r="D28" s="279"/>
      <c r="E28" s="280"/>
      <c r="F28" s="290"/>
      <c r="G28" s="291"/>
    </row>
    <row r="29" spans="1:7" s="258" customFormat="1" ht="13.5" customHeight="1">
      <c r="A29" s="947"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85</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1027</v>
      </c>
      <c r="D33" s="276"/>
      <c r="E33" s="256"/>
      <c r="F33" s="285"/>
      <c r="G33" s="278"/>
    </row>
    <row r="34" spans="1:7" s="302" customFormat="1" ht="13.5" customHeight="1">
      <c r="A34" s="947" t="s">
        <v>791</v>
      </c>
      <c r="B34" s="259" t="s">
        <v>2381</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2382</v>
      </c>
    </row>
    <row r="35" spans="1:7" ht="13.5" customHeight="1">
      <c r="A35" s="947" t="s">
        <v>796</v>
      </c>
      <c r="B35" s="259" t="s">
        <v>2383</v>
      </c>
      <c r="C35" s="264">
        <f ca="1">ROUND(C34*F35,0)</f>
        <v>28</v>
      </c>
      <c r="D35" s="264"/>
      <c r="E35" s="264"/>
      <c r="F35" s="303">
        <f>'数据-取费表'!B33</f>
        <v>0.03</v>
      </c>
      <c r="G35" s="263" t="s">
        <v>2384</v>
      </c>
    </row>
    <row r="36" spans="1:7" ht="24">
      <c r="A36" s="947"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47" t="s">
        <v>798</v>
      </c>
      <c r="B37" s="259" t="s">
        <v>2387</v>
      </c>
      <c r="C37" s="293">
        <f ca="1">ROUND(E37*D37*F34/10000,0)</f>
        <v>62</v>
      </c>
      <c r="D37" s="261">
        <f ca="1">D19</f>
        <v>3075.7000000000007</v>
      </c>
      <c r="E37" s="293">
        <f>'数据-取费表'!B35</f>
        <v>200</v>
      </c>
      <c r="F37" s="303"/>
      <c r="G37" s="305" t="s">
        <v>2388</v>
      </c>
    </row>
    <row r="38" spans="1:7" ht="13.5" customHeight="1">
      <c r="A38" s="947" t="s">
        <v>799</v>
      </c>
      <c r="B38" s="259" t="s">
        <v>2389</v>
      </c>
      <c r="C38" s="264">
        <f ca="1">ROUND(C34*F38,0)</f>
        <v>14</v>
      </c>
      <c r="D38" s="264"/>
      <c r="E38" s="264"/>
      <c r="F38" s="303">
        <f>'数据-取费表'!B36</f>
        <v>1.4999999999999999E-2</v>
      </c>
      <c r="G38" s="263" t="s">
        <v>2384</v>
      </c>
    </row>
    <row r="39" spans="1:7" s="258" customFormat="1" ht="13.5" customHeight="1">
      <c r="A39" s="299" t="s">
        <v>2390</v>
      </c>
      <c r="B39" s="254" t="s">
        <v>2391</v>
      </c>
      <c r="C39" s="276">
        <f ca="1">ROUND(C33*F20,0)</f>
        <v>21</v>
      </c>
      <c r="D39" s="276"/>
      <c r="E39" s="276"/>
      <c r="F39" s="277"/>
      <c r="G39" s="278" t="s">
        <v>2392</v>
      </c>
    </row>
    <row r="40" spans="1:7" s="258" customFormat="1" ht="13.5" customHeight="1">
      <c r="A40" s="299" t="s">
        <v>2393</v>
      </c>
      <c r="B40" s="254" t="s">
        <v>2394</v>
      </c>
      <c r="C40" s="1724">
        <f>F21</f>
        <v>0.02</v>
      </c>
      <c r="D40" s="280" t="s">
        <v>2395</v>
      </c>
      <c r="E40" s="276"/>
      <c r="F40" s="277"/>
      <c r="G40" s="278" t="s">
        <v>2396</v>
      </c>
    </row>
    <row r="41" spans="1:7" s="258" customFormat="1" ht="13.5" customHeight="1">
      <c r="A41" s="299" t="s">
        <v>2397</v>
      </c>
      <c r="B41" s="254" t="s">
        <v>2398</v>
      </c>
      <c r="C41" s="276">
        <f ca="1">ROUND(SUM(C42:C43),0)</f>
        <v>50</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ROUND(IF('数据-取费表'!B22&lt;=1,C33*F22*'数据-取费表'!B21/2,C33*(POWER((1+F22),'数据-取费表'!B21/2)-1)),0)</f>
        <v>49</v>
      </c>
      <c r="D42" s="282"/>
      <c r="E42" s="282"/>
      <c r="F42" s="283"/>
      <c r="G42" s="3223" t="s">
        <v>2400</v>
      </c>
    </row>
    <row r="43" spans="1:7" ht="13.5" customHeight="1">
      <c r="A43" s="947" t="s">
        <v>792</v>
      </c>
      <c r="B43" s="259" t="s">
        <v>2401</v>
      </c>
      <c r="C43" s="282">
        <f ca="1">ROUND(IF('数据-取费表'!B22&lt;=1,C39*F22*'数据-取费表'!B21/2,C39*(POWER((1+F22),'数据-取费表'!B21/2)-1)),0)</f>
        <v>1</v>
      </c>
      <c r="D43" s="282"/>
      <c r="E43" s="282"/>
      <c r="F43" s="283"/>
      <c r="G43" s="3224"/>
    </row>
    <row r="44" spans="1:7" ht="13.5" customHeight="1">
      <c r="A44" s="947" t="s">
        <v>793</v>
      </c>
      <c r="B44" s="259" t="s">
        <v>2402</v>
      </c>
      <c r="C44" s="282">
        <f ca="1">ROUND(IF('数据-取费表'!B22&lt;=1,C40*F22*'数据-取费表'!B21/2,C40*(POWER((1+F22),'数据-取费表'!B21/2)-1)),4)</f>
        <v>1E-3</v>
      </c>
      <c r="D44" s="282"/>
      <c r="E44" s="282"/>
      <c r="F44" s="283"/>
      <c r="G44" s="3225"/>
    </row>
    <row r="45" spans="1:7" s="258" customFormat="1" ht="13.5" customHeight="1">
      <c r="A45" s="299" t="s">
        <v>2403</v>
      </c>
      <c r="B45" s="288" t="s">
        <v>2369</v>
      </c>
      <c r="C45" s="289">
        <f ca="1">C46</f>
        <v>157</v>
      </c>
      <c r="D45" s="279">
        <f ca="1">C47</f>
        <v>3.0000000000000001E-3</v>
      </c>
      <c r="E45" s="280" t="s">
        <v>2395</v>
      </c>
      <c r="F45" s="290"/>
      <c r="G45" s="291" t="s">
        <v>2404</v>
      </c>
    </row>
    <row r="46" spans="1:7" s="258" customFormat="1" ht="13.5" customHeight="1">
      <c r="A46" s="947" t="s">
        <v>791</v>
      </c>
      <c r="B46" s="292" t="s">
        <v>2405</v>
      </c>
      <c r="C46" s="293">
        <f ca="1">ROUND((C33+C39)*F27,0)</f>
        <v>157</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1724">
        <f>ROUND(F30/(1+'数据-取费表'!C42),4)</f>
        <v>5.33E-2</v>
      </c>
      <c r="D48" s="280" t="s">
        <v>2395</v>
      </c>
      <c r="E48" s="276"/>
      <c r="F48" s="281"/>
      <c r="G48" s="278" t="s">
        <v>2408</v>
      </c>
    </row>
    <row r="49" spans="1:7" ht="16.5" customHeight="1">
      <c r="A49" s="299" t="s">
        <v>2374</v>
      </c>
      <c r="B49" s="254" t="s">
        <v>2409</v>
      </c>
      <c r="C49" s="276">
        <f ca="1">ROUND((C33+C39+C41+C45)/(1-C40-D41-D45-C48),0)</f>
        <v>1360</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1088</v>
      </c>
      <c r="D51" s="276"/>
      <c r="E51" s="276"/>
      <c r="F51" s="308"/>
      <c r="G51" s="278" t="s">
        <v>2416</v>
      </c>
    </row>
    <row r="52" spans="1:7" s="252" customFormat="1" ht="16.5" thickBot="1">
      <c r="A52" s="309" t="s">
        <v>2417</v>
      </c>
      <c r="B52" s="310"/>
      <c r="C52" s="311">
        <f ca="1">C31+C51</f>
        <v>1173</v>
      </c>
      <c r="D52" s="310"/>
      <c r="E52" s="310"/>
      <c r="F52" s="310"/>
      <c r="G52" s="312"/>
    </row>
    <row r="55" spans="1:7" ht="15">
      <c r="B55" s="314" t="s">
        <v>2418</v>
      </c>
      <c r="C55" s="315"/>
    </row>
    <row r="56" spans="1:7">
      <c r="B56" s="317" t="s">
        <v>1505</v>
      </c>
      <c r="C56" s="319">
        <f ca="1">1-C57</f>
        <v>7.1999999999999953E-2</v>
      </c>
    </row>
    <row r="57" spans="1:7">
      <c r="B57" s="317" t="s">
        <v>1506</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7" t="str">
        <f>项目基本情况!B1</f>
        <v>北京市朝阳区朝阳路67号9号楼、10号楼、1号楼等35套商业用房房地产抵押价值预评估</v>
      </c>
      <c r="C37" s="3037"/>
      <c r="D37" s="3037"/>
      <c r="E37" s="3037"/>
      <c r="F37" s="3037"/>
      <c r="G37" s="3037"/>
      <c r="H37" s="3037"/>
      <c r="I37" s="3037"/>
    </row>
    <row r="38" spans="1:9">
      <c r="A38" s="1012"/>
      <c r="B38" s="1012"/>
    </row>
    <row r="39" spans="1:9">
      <c r="A39" s="1010" t="s">
        <v>818</v>
      </c>
      <c r="B39" s="1010" t="s">
        <v>820</v>
      </c>
    </row>
    <row r="40" spans="1:9">
      <c r="A40" s="1010"/>
      <c r="B40" s="1937" t="str">
        <f>项目基本情况!B5</f>
        <v>北京国锐房地产开发有限公司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郑燚（注册号：1120070131)、吴薇（注册号：1419970001)</v>
      </c>
    </row>
    <row r="47" spans="1:9">
      <c r="A47" s="1010"/>
      <c r="B47" s="1010" t="str">
        <f>项目基本情况!K5</f>
        <v/>
      </c>
    </row>
    <row r="48" spans="1:9">
      <c r="A48" s="1010" t="s">
        <v>818</v>
      </c>
      <c r="B48" s="1010" t="s">
        <v>824</v>
      </c>
    </row>
    <row r="49" spans="2:2">
      <c r="B49" s="1937"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2"/>
      <c r="C1" s="2547" t="s">
        <v>2419</v>
      </c>
      <c r="D1" s="242"/>
      <c r="E1" s="242"/>
      <c r="F1" s="242"/>
      <c r="G1" s="1375">
        <f>MATCH(B1,'数据-取费表'!A6:A16,0)+5</f>
        <v>8</v>
      </c>
      <c r="H1" s="1278" t="str">
        <f>IF(ISERROR(FIND("住宅",B1)),"非住宅","住宅")</f>
        <v>非住宅</v>
      </c>
    </row>
    <row r="2" spans="1:8" s="244" customFormat="1" ht="18" customHeight="1">
      <c r="A2" s="245" t="s">
        <v>2318</v>
      </c>
      <c r="B2" s="246">
        <f ca="1">ROUND(IF(D2="——",C52/10000,C52/10000-E2),0)</f>
        <v>1264</v>
      </c>
      <c r="C2" s="243" t="s">
        <v>2319</v>
      </c>
      <c r="D2" s="2541" t="s">
        <v>70</v>
      </c>
      <c r="E2" s="1436" t="e">
        <f ca="1">SUMIF(INDIRECT("'"&amp;G2&amp;"'"&amp;"!A:A"),"承租人权益价值",INDIRECT("'"&amp;G2&amp;"'"&amp;"!c:c"))</f>
        <v>#REF!</v>
      </c>
      <c r="F2" s="2542" t="s">
        <v>2319</v>
      </c>
      <c r="G2" s="2543"/>
    </row>
    <row r="3" spans="1:8" s="244" customFormat="1" ht="18" customHeight="1" thickBot="1">
      <c r="A3" s="247" t="s">
        <v>2320</v>
      </c>
      <c r="B3" s="248">
        <f ca="1">ROUND(B2*10000/(IF(B1="",'数据-汇总表'!E3,INDIRECT("'数据-取费表'!k"&amp;$G$1))),0)</f>
        <v>4083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619136</v>
      </c>
      <c r="D5" s="255" t="s">
        <v>2325</v>
      </c>
      <c r="E5" s="256" t="s">
        <v>2326</v>
      </c>
      <c r="F5" s="256" t="s">
        <v>2327</v>
      </c>
      <c r="G5" s="257"/>
    </row>
    <row r="6" spans="1:8" s="258" customFormat="1" ht="13.5" customHeight="1">
      <c r="A6" s="945" t="s">
        <v>2328</v>
      </c>
      <c r="B6" s="259" t="s">
        <v>2329</v>
      </c>
      <c r="C6" s="260"/>
      <c r="D6" s="261"/>
      <c r="E6" s="262"/>
      <c r="F6" s="262"/>
      <c r="G6" s="263"/>
    </row>
    <row r="7" spans="1:8" s="258" customFormat="1" ht="13.5" customHeight="1">
      <c r="A7" s="945" t="s">
        <v>2330</v>
      </c>
      <c r="B7" s="259" t="s">
        <v>2331</v>
      </c>
      <c r="C7" s="264">
        <f>ROUND(C6*F7,0)</f>
        <v>0</v>
      </c>
      <c r="D7" s="264"/>
      <c r="E7" s="262"/>
      <c r="F7" s="265">
        <f>'数据-取费表'!B48+'数据-取费表'!B49</f>
        <v>3.0499999999999999E-2</v>
      </c>
      <c r="G7" s="263"/>
    </row>
    <row r="8" spans="1:8" s="267" customFormat="1">
      <c r="A8" s="945" t="s">
        <v>2332</v>
      </c>
      <c r="B8" s="259" t="s">
        <v>2333</v>
      </c>
      <c r="C8" s="264">
        <f ca="1">IF(G8="已包含在土地购买价格中",0,C9+C10)</f>
        <v>619136</v>
      </c>
      <c r="D8" s="266"/>
      <c r="E8" s="264"/>
      <c r="F8" s="265"/>
      <c r="G8" s="2544"/>
    </row>
    <row r="9" spans="1:8" s="258" customFormat="1" ht="13.5" customHeight="1">
      <c r="A9" s="946" t="s">
        <v>800</v>
      </c>
      <c r="B9" s="268" t="s">
        <v>2334</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2336</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2337</v>
      </c>
      <c r="C11" s="255"/>
      <c r="D11" s="1030"/>
      <c r="E11" s="262"/>
      <c r="F11" s="262"/>
      <c r="G11" s="263"/>
    </row>
    <row r="12" spans="1:8" s="258" customFormat="1" ht="13.5" hidden="1" customHeight="1">
      <c r="A12" s="271" t="s">
        <v>8</v>
      </c>
      <c r="B12" s="259" t="s">
        <v>2420</v>
      </c>
      <c r="C12" s="255">
        <v>0</v>
      </c>
      <c r="D12" s="1030"/>
      <c r="E12" s="272"/>
      <c r="F12" s="265">
        <v>3.0499999999999999E-2</v>
      </c>
      <c r="G12" s="263"/>
    </row>
    <row r="13" spans="1:8" s="258" customFormat="1" ht="13.5" hidden="1" customHeight="1">
      <c r="A13" s="271" t="s">
        <v>9</v>
      </c>
      <c r="B13" s="259" t="s">
        <v>2421</v>
      </c>
      <c r="C13" s="255"/>
      <c r="D13" s="1030"/>
      <c r="E13" s="262"/>
      <c r="F13" s="262"/>
      <c r="G13" s="263"/>
    </row>
    <row r="14" spans="1:8" s="258" customFormat="1" ht="13.5" hidden="1" customHeight="1">
      <c r="A14" s="271" t="s">
        <v>10</v>
      </c>
      <c r="B14" s="259" t="s">
        <v>2333</v>
      </c>
      <c r="C14" s="255"/>
      <c r="D14" s="1030"/>
      <c r="E14" s="262"/>
      <c r="F14" s="262"/>
      <c r="G14" s="263" t="s">
        <v>2422</v>
      </c>
    </row>
    <row r="15" spans="1:8" s="258" customFormat="1" ht="13.5" hidden="1" customHeight="1">
      <c r="A15" s="271" t="s">
        <v>11</v>
      </c>
      <c r="B15" s="259" t="s">
        <v>2423</v>
      </c>
      <c r="C15" s="264"/>
      <c r="D15" s="1030"/>
      <c r="E15" s="262"/>
      <c r="F15" s="262"/>
      <c r="G15" s="263" t="s">
        <v>2424</v>
      </c>
    </row>
    <row r="16" spans="1:8" s="258" customFormat="1" ht="13.5" hidden="1" customHeight="1">
      <c r="A16" s="271" t="s">
        <v>12</v>
      </c>
      <c r="B16" s="259" t="s">
        <v>2333</v>
      </c>
      <c r="C16" s="264"/>
      <c r="D16" s="1030"/>
      <c r="E16" s="262"/>
      <c r="F16" s="262"/>
      <c r="G16" s="263"/>
    </row>
    <row r="17" spans="1:7" s="258" customFormat="1" ht="13.5" hidden="1" customHeight="1">
      <c r="A17" s="271" t="s">
        <v>13</v>
      </c>
      <c r="B17" s="259" t="s">
        <v>2425</v>
      </c>
      <c r="C17" s="273"/>
      <c r="D17" s="1031"/>
      <c r="E17" s="273"/>
      <c r="F17" s="273"/>
      <c r="G17" s="263" t="s">
        <v>2424</v>
      </c>
    </row>
    <row r="18" spans="1:7" s="258" customFormat="1" ht="13.5" hidden="1" customHeight="1">
      <c r="A18" s="271" t="s">
        <v>14</v>
      </c>
      <c r="B18" s="259" t="s">
        <v>2426</v>
      </c>
      <c r="C18" s="264">
        <v>0</v>
      </c>
      <c r="D18" s="1030"/>
      <c r="E18" s="262"/>
      <c r="F18" s="265">
        <v>3.0499999999999999E-2</v>
      </c>
      <c r="G18" s="263" t="s">
        <v>2427</v>
      </c>
    </row>
    <row r="19" spans="1:7" s="267" customFormat="1" ht="13.5" customHeight="1">
      <c r="A19" s="299" t="s">
        <v>2428</v>
      </c>
      <c r="B19" s="254" t="s">
        <v>2429</v>
      </c>
      <c r="C19" s="255">
        <f ca="1">IF(G19="已包含在土地取得成本中","0",ROUND(D19*E19,0))</f>
        <v>619136</v>
      </c>
      <c r="D19" s="1032">
        <f ca="1">D9+D10</f>
        <v>3095.6800000000007</v>
      </c>
      <c r="E19" s="255">
        <f>'数据-取费表'!B31</f>
        <v>200</v>
      </c>
      <c r="F19" s="275"/>
      <c r="G19" s="2544"/>
    </row>
    <row r="20" spans="1:7" s="258" customFormat="1" ht="13.5" customHeight="1">
      <c r="A20" s="299" t="s">
        <v>2430</v>
      </c>
      <c r="B20" s="254" t="s">
        <v>2431</v>
      </c>
      <c r="C20" s="276">
        <f ca="1">ROUND((C5+C19)*F20,0)</f>
        <v>24765</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6">
        <f ca="1">ROUND(SUM(C23:C25),0)</f>
        <v>121606</v>
      </c>
      <c r="D22" s="279">
        <f ca="1">C26</f>
        <v>1E-3</v>
      </c>
      <c r="E22" s="280" t="s">
        <v>2435</v>
      </c>
      <c r="F22" s="281">
        <f ca="1">'数据-取费表'!B40</f>
        <v>4.7500000000000001E-2</v>
      </c>
      <c r="G22" s="278" t="str">
        <f>IF('数据-取费表'!B22&lt;=1,"单利计息","复利计息")</f>
        <v>复利计息</v>
      </c>
    </row>
    <row r="23" spans="1:7" s="258" customFormat="1" ht="13.5" customHeight="1">
      <c r="A23" s="947" t="s">
        <v>2328</v>
      </c>
      <c r="B23" s="259" t="s">
        <v>2439</v>
      </c>
      <c r="C23" s="1377">
        <f ca="1">ROUND(IF('数据-取费表'!B22&lt;=1,C5*F22*'数据-取费表'!B22,C5*(POWER((1+F22),'数据-取费表'!B22)-1)),0)</f>
        <v>60215</v>
      </c>
      <c r="D23" s="282"/>
      <c r="E23" s="282"/>
      <c r="F23" s="283"/>
      <c r="G23" s="284" t="s">
        <v>2440</v>
      </c>
    </row>
    <row r="24" spans="1:7" s="258" customFormat="1" ht="13.5" customHeight="1">
      <c r="A24" s="947" t="s">
        <v>2330</v>
      </c>
      <c r="B24" s="259" t="s">
        <v>2441</v>
      </c>
      <c r="C24" s="1377">
        <f ca="1">ROUND(IF('数据-取费表'!B22&lt;=1,C19*F22*('数据-取费表'!B19/2+'数据-取费表'!B20),C19*(POWER((1+F22),('数据-取费表'!B19/2+'数据-取费表'!B20))-1)),0)</f>
        <v>60215</v>
      </c>
      <c r="D24" s="282"/>
      <c r="E24" s="282"/>
      <c r="F24" s="283"/>
      <c r="G24" s="284" t="s">
        <v>2442</v>
      </c>
    </row>
    <row r="25" spans="1:7" s="258" customFormat="1" ht="24">
      <c r="A25" s="947" t="s">
        <v>2332</v>
      </c>
      <c r="B25" s="259" t="s">
        <v>2443</v>
      </c>
      <c r="C25" s="1377">
        <f ca="1">ROUND(IF('数据-取费表'!B22&lt;=1,C20*F22*'数据-取费表'!B22/2,C20*(POWER((1+F22),'数据-取费表'!B22/2)-1)),0)</f>
        <v>1176</v>
      </c>
      <c r="D25" s="282"/>
      <c r="E25" s="285"/>
      <c r="F25" s="283"/>
      <c r="G25" s="286" t="s">
        <v>2444</v>
      </c>
    </row>
    <row r="26" spans="1:7" s="258" customFormat="1">
      <c r="A26" s="947"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189456</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ROUND((C5+C19+C20)*F27,0)</f>
        <v>189456</v>
      </c>
      <c r="D28" s="279"/>
      <c r="E28" s="280"/>
      <c r="F28" s="290"/>
      <c r="G28" s="291"/>
    </row>
    <row r="29" spans="1:7" s="258" customFormat="1" ht="13.5" customHeight="1">
      <c r="A29" s="947"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1705971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10324093</v>
      </c>
      <c r="D33" s="276"/>
      <c r="E33" s="256"/>
      <c r="F33" s="285"/>
      <c r="G33" s="278"/>
    </row>
    <row r="34" spans="1:7" s="302" customFormat="1" ht="13.5" customHeight="1">
      <c r="A34" s="947" t="s">
        <v>791</v>
      </c>
      <c r="B34" s="259" t="s">
        <v>2381</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2383</v>
      </c>
      <c r="C35" s="264">
        <f ca="1">ROUND(C34*F35,0)</f>
        <v>278611</v>
      </c>
      <c r="D35" s="264"/>
      <c r="E35" s="264"/>
      <c r="F35" s="303">
        <f>'数据-取费表'!B33</f>
        <v>0.03</v>
      </c>
      <c r="G35" s="263" t="s">
        <v>2384</v>
      </c>
    </row>
    <row r="36" spans="1:7" ht="24">
      <c r="A36" s="947"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47" t="s">
        <v>798</v>
      </c>
      <c r="B37" s="259" t="s">
        <v>2387</v>
      </c>
      <c r="C37" s="293">
        <f ca="1">ROUND(E37*D37,0)</f>
        <v>619136</v>
      </c>
      <c r="D37" s="261">
        <f ca="1">D19</f>
        <v>3095.6800000000007</v>
      </c>
      <c r="E37" s="293">
        <f>'数据-取费表'!B35</f>
        <v>200</v>
      </c>
      <c r="F37" s="303"/>
      <c r="G37" s="305"/>
    </row>
    <row r="38" spans="1:7" ht="13.5" customHeight="1">
      <c r="A38" s="947" t="s">
        <v>799</v>
      </c>
      <c r="B38" s="259" t="s">
        <v>2389</v>
      </c>
      <c r="C38" s="264">
        <f ca="1">ROUND(C34*F38,0)</f>
        <v>139306</v>
      </c>
      <c r="D38" s="264"/>
      <c r="E38" s="264"/>
      <c r="F38" s="303">
        <f>'数据-取费表'!B36</f>
        <v>1.4999999999999999E-2</v>
      </c>
      <c r="G38" s="263" t="s">
        <v>2384</v>
      </c>
    </row>
    <row r="39" spans="1:7" s="258" customFormat="1" ht="13.5" customHeight="1">
      <c r="A39" s="299" t="s">
        <v>2390</v>
      </c>
      <c r="B39" s="254" t="s">
        <v>2391</v>
      </c>
      <c r="C39" s="276">
        <f ca="1">ROUND(C33*F20,0)</f>
        <v>206482</v>
      </c>
      <c r="D39" s="276"/>
      <c r="E39" s="276"/>
      <c r="F39" s="277"/>
      <c r="G39" s="278" t="s">
        <v>2392</v>
      </c>
    </row>
    <row r="40" spans="1:7" s="258" customFormat="1" ht="13.5" customHeight="1">
      <c r="A40" s="299" t="s">
        <v>2393</v>
      </c>
      <c r="B40" s="254" t="s">
        <v>2394</v>
      </c>
      <c r="C40" s="1724">
        <f>F21</f>
        <v>0.02</v>
      </c>
      <c r="D40" s="280" t="s">
        <v>2395</v>
      </c>
      <c r="E40" s="276"/>
      <c r="F40" s="277"/>
      <c r="G40" s="278" t="s">
        <v>2396</v>
      </c>
    </row>
    <row r="41" spans="1:7" s="258" customFormat="1" ht="13.5" customHeight="1">
      <c r="A41" s="299" t="s">
        <v>2397</v>
      </c>
      <c r="B41" s="254" t="s">
        <v>2398</v>
      </c>
      <c r="C41" s="276">
        <f ca="1">ROUND(SUM(C42:C43),0)</f>
        <v>500202</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ROUND(IF('数据-取费表'!B22&lt;=1,C33*F22*'数据-取费表'!B20/2,C33*(POWER((1+F22),'数据-取费表'!B20/2)-1)),0)</f>
        <v>490394</v>
      </c>
      <c r="D42" s="282"/>
      <c r="E42" s="282"/>
      <c r="F42" s="283"/>
      <c r="G42" s="3223" t="s">
        <v>2447</v>
      </c>
    </row>
    <row r="43" spans="1:7" ht="13.5" customHeight="1">
      <c r="A43" s="947" t="s">
        <v>792</v>
      </c>
      <c r="B43" s="259" t="s">
        <v>2401</v>
      </c>
      <c r="C43" s="282">
        <f ca="1">ROUND(IF('数据-取费表'!B22&lt;=1,C39*F22*'数据-取费表'!B20/2,C39*(POWER((1+F22),'数据-取费表'!B20/2)-1)),0)</f>
        <v>9808</v>
      </c>
      <c r="D43" s="282"/>
      <c r="E43" s="282"/>
      <c r="F43" s="283"/>
      <c r="G43" s="3224"/>
    </row>
    <row r="44" spans="1:7" ht="13.5" customHeight="1">
      <c r="A44" s="947" t="s">
        <v>793</v>
      </c>
      <c r="B44" s="259" t="s">
        <v>2402</v>
      </c>
      <c r="C44" s="282">
        <f ca="1">ROUND(IF('数据-取费表'!B22&lt;=1,C40*F22*'数据-取费表'!B20/2,C40*(POWER((1+F22),'数据-取费表'!B20/2)-1)),4)</f>
        <v>1E-3</v>
      </c>
      <c r="D44" s="282"/>
      <c r="E44" s="282"/>
      <c r="F44" s="283"/>
      <c r="G44" s="3225"/>
    </row>
    <row r="45" spans="1:7" s="258" customFormat="1" ht="13.5" customHeight="1">
      <c r="A45" s="299" t="s">
        <v>2403</v>
      </c>
      <c r="B45" s="288" t="s">
        <v>2369</v>
      </c>
      <c r="C45" s="289">
        <f ca="1">C46</f>
        <v>1579586</v>
      </c>
      <c r="D45" s="279">
        <f ca="1">C47</f>
        <v>3.0000000000000001E-3</v>
      </c>
      <c r="E45" s="280" t="s">
        <v>2395</v>
      </c>
      <c r="F45" s="290"/>
      <c r="G45" s="291" t="s">
        <v>2404</v>
      </c>
    </row>
    <row r="46" spans="1:7" s="258" customFormat="1" ht="13.5" customHeight="1">
      <c r="A46" s="947" t="s">
        <v>791</v>
      </c>
      <c r="B46" s="292" t="s">
        <v>2405</v>
      </c>
      <c r="C46" s="293">
        <f ca="1">ROUND((C33+C39)*F27,0)</f>
        <v>1579586</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13666807</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10933446</v>
      </c>
      <c r="D51" s="276"/>
      <c r="E51" s="276"/>
      <c r="F51" s="308"/>
      <c r="G51" s="278" t="s">
        <v>2416</v>
      </c>
    </row>
    <row r="52" spans="1:7" s="252" customFormat="1" ht="16.5" thickBot="1">
      <c r="A52" s="309" t="s">
        <v>2417</v>
      </c>
      <c r="B52" s="310"/>
      <c r="C52" s="311">
        <f ca="1">C31+C51</f>
        <v>12639417</v>
      </c>
      <c r="D52" s="310"/>
      <c r="E52" s="310"/>
      <c r="F52" s="310"/>
      <c r="G52" s="312"/>
    </row>
    <row r="55" spans="1:7" ht="15">
      <c r="B55" s="314" t="s">
        <v>2418</v>
      </c>
      <c r="C55" s="315"/>
    </row>
    <row r="56" spans="1:7">
      <c r="B56" s="317" t="s">
        <v>1505</v>
      </c>
      <c r="C56" s="319">
        <f ca="1">1-C57</f>
        <v>0.13500000000000001</v>
      </c>
    </row>
    <row r="57" spans="1:7">
      <c r="B57" s="317" t="s">
        <v>1506</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2450</v>
      </c>
      <c r="B1" s="1577"/>
      <c r="C1" s="1578"/>
      <c r="D1" s="1576"/>
      <c r="E1" s="320"/>
      <c r="F1" s="320"/>
      <c r="G1" s="1577"/>
      <c r="H1" s="320"/>
      <c r="I1" s="320"/>
      <c r="J1" s="320"/>
      <c r="K1" s="320">
        <f>MATCH(C1,'数据-取费表'!A6:A16,0)+5</f>
        <v>8</v>
      </c>
    </row>
    <row r="2" spans="1:33" ht="18" customHeight="1">
      <c r="A2" s="245" t="s">
        <v>2318</v>
      </c>
      <c r="B2" s="248">
        <f ca="1">C32</f>
        <v>-70</v>
      </c>
      <c r="C2" s="320" t="s">
        <v>2451</v>
      </c>
      <c r="D2" s="320"/>
      <c r="E2" s="320"/>
      <c r="F2" s="320"/>
      <c r="G2" s="320"/>
      <c r="H2" s="320"/>
      <c r="I2" s="320"/>
      <c r="J2" s="320"/>
      <c r="K2" s="320"/>
    </row>
    <row r="3" spans="1:33" ht="18" customHeight="1" thickBot="1">
      <c r="A3" s="247" t="s">
        <v>2320</v>
      </c>
      <c r="B3" s="248">
        <f ca="1">ROUND(B2*10000/IF(C1="",'数据-汇总表'!E3,INDIRECT("'数据-取费表'!K"&amp;$K$1)),0)</f>
        <v>-226</v>
      </c>
      <c r="C3" s="320" t="s">
        <v>2452</v>
      </c>
      <c r="D3" s="320"/>
      <c r="E3" s="320"/>
      <c r="F3" s="320"/>
      <c r="G3" s="320"/>
      <c r="H3" s="320"/>
      <c r="I3" s="320"/>
      <c r="J3" s="320"/>
      <c r="K3" s="320"/>
    </row>
    <row r="4" spans="1:33" s="952" customFormat="1" ht="16.5" customHeight="1">
      <c r="A4" s="949" t="s">
        <v>2453</v>
      </c>
      <c r="B4" s="950"/>
      <c r="C4" s="992">
        <f>SUM(C8:K8)</f>
        <v>0</v>
      </c>
      <c r="D4" s="950"/>
      <c r="E4" s="950"/>
      <c r="F4" s="950"/>
      <c r="G4" s="950"/>
      <c r="H4" s="950"/>
      <c r="I4" s="950"/>
      <c r="J4" s="950"/>
      <c r="K4" s="951"/>
    </row>
    <row r="5" spans="1:33" s="956" customFormat="1" ht="24.75">
      <c r="A5" s="953" t="s">
        <v>2454</v>
      </c>
      <c r="B5" s="954" t="s">
        <v>2455</v>
      </c>
      <c r="C5" s="2548" t="s">
        <v>2456</v>
      </c>
      <c r="D5" s="2548" t="s">
        <v>2457</v>
      </c>
      <c r="E5" s="2548" t="s">
        <v>2458</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2459</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2462</v>
      </c>
      <c r="B8" s="177" t="s">
        <v>2463</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2464</v>
      </c>
      <c r="B9" s="950"/>
      <c r="C9" s="950"/>
      <c r="D9" s="950"/>
      <c r="E9" s="950"/>
      <c r="F9" s="950"/>
      <c r="G9" s="950"/>
      <c r="H9" s="950"/>
      <c r="I9" s="950"/>
      <c r="J9" s="950"/>
      <c r="K9" s="951"/>
    </row>
    <row r="10" spans="1:33" s="966" customFormat="1" ht="13.5" customHeight="1">
      <c r="A10" s="953" t="s">
        <v>2465</v>
      </c>
      <c r="B10" s="8" t="s">
        <v>2466</v>
      </c>
      <c r="C10" s="962" t="s">
        <v>2467</v>
      </c>
      <c r="D10" s="963" t="s">
        <v>2468</v>
      </c>
      <c r="E10" s="963" t="s">
        <v>2469</v>
      </c>
      <c r="F10" s="963" t="s">
        <v>2470</v>
      </c>
      <c r="G10" s="8"/>
      <c r="H10" s="964"/>
      <c r="I10" s="964"/>
      <c r="J10" s="964"/>
      <c r="K10" s="965"/>
    </row>
    <row r="11" spans="1:33" s="971" customFormat="1" ht="13.5" customHeight="1">
      <c r="A11" s="967" t="s">
        <v>1330</v>
      </c>
      <c r="B11" s="968" t="s">
        <v>2471</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2472</v>
      </c>
      <c r="C12" s="24">
        <f ca="1">ROUND(C11*F12,0)</f>
        <v>0</v>
      </c>
      <c r="D12" s="969"/>
      <c r="E12" s="375"/>
      <c r="F12" s="972">
        <f>'数据-取费表'!B33</f>
        <v>0.03</v>
      </c>
      <c r="G12" s="8" t="s">
        <v>2473</v>
      </c>
      <c r="H12" s="964"/>
      <c r="I12" s="964"/>
      <c r="J12" s="964"/>
      <c r="K12" s="965"/>
    </row>
    <row r="13" spans="1:33" s="971" customFormat="1" ht="13.5" customHeight="1">
      <c r="A13" s="967" t="s">
        <v>1332</v>
      </c>
      <c r="B13" s="968" t="s">
        <v>2474</v>
      </c>
      <c r="C13" s="24">
        <f ca="1">ROUND(IF(C1="",SUMIF('数据-取费表'!C:C,"住宅",'数据-取费表'!P:P)*F13,IF(INDIRECT("'数据-取费表'!c"&amp;$K$1)="住宅",INDIRECT("'数据-取费表'!P"&amp;$K$1)*F13,0)),0)</f>
        <v>0</v>
      </c>
      <c r="D13" s="1029"/>
      <c r="E13" s="375"/>
      <c r="F13" s="972">
        <f>'数据-取费表'!B34</f>
        <v>0</v>
      </c>
      <c r="G13" s="8" t="s">
        <v>2475</v>
      </c>
      <c r="H13" s="964"/>
      <c r="I13" s="964"/>
      <c r="J13" s="964"/>
      <c r="K13" s="965"/>
    </row>
    <row r="14" spans="1:33" s="973" customFormat="1" ht="13.5" customHeight="1">
      <c r="A14" s="967" t="s">
        <v>1333</v>
      </c>
      <c r="B14" s="968" t="s">
        <v>2476</v>
      </c>
      <c r="C14" s="24">
        <f ca="1">ROUND(D14*E14*F11/10000,0)</f>
        <v>0</v>
      </c>
      <c r="D14" s="1029">
        <f ca="1">IF(C1="",'数据-汇总表'!E3,INDIRECT("'数据-取费表'!K"&amp;$K$1)+INDIRECT("'数据-取费表'!S"&amp;$K$1))</f>
        <v>3095.6800000000007</v>
      </c>
      <c r="E14" s="24">
        <f>'数据-取费表'!B35</f>
        <v>200</v>
      </c>
      <c r="F14" s="972"/>
      <c r="G14" s="8" t="s">
        <v>2477</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2478</v>
      </c>
      <c r="C15" s="979">
        <f ca="1">ROUND(C11*F15,0)</f>
        <v>0</v>
      </c>
      <c r="D15" s="974"/>
      <c r="E15" s="979"/>
      <c r="F15" s="980">
        <f>'数据-取费表'!B36</f>
        <v>1.4999999999999999E-2</v>
      </c>
      <c r="G15" s="140" t="s">
        <v>2479</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2480</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2481</v>
      </c>
      <c r="C17" s="24">
        <f ca="1">ROUND(D17*E17/10000,0)</f>
        <v>0</v>
      </c>
      <c r="D17" s="1029">
        <f ca="1">D14</f>
        <v>3095.6800000000007</v>
      </c>
      <c r="E17" s="24">
        <f>'数据-取费表'!B32</f>
        <v>0</v>
      </c>
      <c r="F17" s="974"/>
      <c r="G17" s="140" t="s">
        <v>2482</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2483</v>
      </c>
      <c r="C18" s="24">
        <f ca="1">C19+C20-IF(C1="",'数据-取费表'!B29,IF(G18="已全部缴纳",C19+C20,H18))</f>
        <v>62</v>
      </c>
      <c r="D18" s="1029"/>
      <c r="E18" s="24"/>
      <c r="F18" s="972"/>
      <c r="G18" s="2550"/>
      <c r="H18" s="1573"/>
      <c r="I18" s="2551" t="s">
        <v>2484</v>
      </c>
      <c r="J18" s="975"/>
      <c r="K18" s="976"/>
    </row>
    <row r="19" spans="1:33" s="971" customFormat="1" ht="13.5" customHeight="1">
      <c r="A19" s="967" t="s">
        <v>805</v>
      </c>
      <c r="B19" s="968" t="s">
        <v>2485</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2486</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2487</v>
      </c>
      <c r="C21" s="982">
        <f ca="1">C16+C17+C18</f>
        <v>62</v>
      </c>
      <c r="D21" s="983"/>
      <c r="E21" s="325"/>
      <c r="F21" s="325"/>
      <c r="G21" s="140" t="s">
        <v>2488</v>
      </c>
      <c r="H21" s="975"/>
      <c r="I21" s="975"/>
      <c r="J21" s="975"/>
      <c r="K21" s="976"/>
    </row>
    <row r="22" spans="1:33" s="971" customFormat="1" ht="13.5" customHeight="1">
      <c r="A22" s="957" t="s">
        <v>2460</v>
      </c>
      <c r="B22" s="981" t="s">
        <v>2489</v>
      </c>
      <c r="C22" s="982">
        <f ca="1">ROUND(C21*F22,0)</f>
        <v>1</v>
      </c>
      <c r="D22" s="325"/>
      <c r="E22" s="325"/>
      <c r="F22" s="984">
        <f>'数据-取费表'!B37</f>
        <v>0.02</v>
      </c>
      <c r="G22" s="8" t="s">
        <v>2490</v>
      </c>
      <c r="H22" s="964"/>
      <c r="I22" s="964"/>
      <c r="J22" s="964"/>
      <c r="K22" s="965"/>
    </row>
    <row r="23" spans="1:33" s="971" customFormat="1" ht="13.5" customHeight="1">
      <c r="A23" s="957" t="s">
        <v>2462</v>
      </c>
      <c r="B23" s="981" t="s">
        <v>2491</v>
      </c>
      <c r="C23" s="982">
        <f ca="1">ROUND(C4*F23*F11,0)</f>
        <v>0</v>
      </c>
      <c r="D23" s="325"/>
      <c r="E23" s="325"/>
      <c r="F23" s="984">
        <f>'数据-取费表'!B38</f>
        <v>0.02</v>
      </c>
      <c r="G23" s="8" t="s">
        <v>2492</v>
      </c>
      <c r="H23" s="964"/>
      <c r="I23" s="964"/>
      <c r="J23" s="964"/>
      <c r="K23" s="965"/>
    </row>
    <row r="24" spans="1:33" s="971" customFormat="1" ht="13.5" customHeight="1">
      <c r="A24" s="957" t="s">
        <v>2493</v>
      </c>
      <c r="B24" s="981" t="s">
        <v>2494</v>
      </c>
      <c r="C24" s="324">
        <f>ROUND(F24/(1+'数据-取费表'!C42),4)</f>
        <v>2.9000000000000001E-2</v>
      </c>
      <c r="D24" s="325" t="s">
        <v>15</v>
      </c>
      <c r="E24" s="325"/>
      <c r="F24" s="984">
        <f>'数据-取费表'!B48+'数据-取费表'!B49</f>
        <v>3.0499999999999999E-2</v>
      </c>
      <c r="G24" s="8" t="s">
        <v>2495</v>
      </c>
      <c r="H24" s="986"/>
      <c r="I24" s="986"/>
      <c r="J24" s="986"/>
      <c r="K24" s="987"/>
    </row>
    <row r="25" spans="1:33" s="971" customFormat="1" ht="13.5" customHeight="1">
      <c r="A25" s="957" t="s">
        <v>2496</v>
      </c>
      <c r="B25" s="983" t="s">
        <v>2497</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2498</v>
      </c>
      <c r="C26" s="1353">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2499</v>
      </c>
      <c r="C27" s="1354">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2500</v>
      </c>
      <c r="B28" s="2553" t="s">
        <v>2501</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2502</v>
      </c>
      <c r="C29" s="328">
        <f ca="1">ROUND((1+C24)*F28*'数据-取费表'!B24/'数据-取费表'!B20,4)</f>
        <v>0</v>
      </c>
      <c r="D29" s="328"/>
      <c r="E29" s="329"/>
      <c r="F29" s="334"/>
      <c r="G29" s="140" t="s">
        <v>2503</v>
      </c>
      <c r="H29" s="975"/>
      <c r="I29" s="975"/>
      <c r="J29" s="975"/>
      <c r="K29" s="976"/>
    </row>
    <row r="30" spans="1:33" s="335" customFormat="1" ht="13.5" customHeight="1">
      <c r="A30" s="967" t="s">
        <v>804</v>
      </c>
      <c r="B30" s="990" t="s">
        <v>2504</v>
      </c>
      <c r="C30" s="336">
        <f ca="1">ROUND((C21+C22+C23)*F28,0)</f>
        <v>9</v>
      </c>
      <c r="D30" s="328"/>
      <c r="E30" s="329"/>
      <c r="F30" s="334"/>
      <c r="G30" s="140"/>
      <c r="H30" s="975"/>
      <c r="I30" s="975"/>
      <c r="J30" s="975"/>
      <c r="K30" s="976"/>
    </row>
    <row r="31" spans="1:33" s="971" customFormat="1" ht="13.5" customHeight="1" thickBot="1">
      <c r="A31" s="2554" t="s">
        <v>2505</v>
      </c>
      <c r="B31" s="1001" t="s">
        <v>2506</v>
      </c>
      <c r="C31" s="1002">
        <f>ROUND(C4*F31/(1+'数据-取费表'!C42),0)</f>
        <v>0</v>
      </c>
      <c r="D31" s="1003"/>
      <c r="E31" s="1004"/>
      <c r="F31" s="1005">
        <f>'数据-取费表'!B41</f>
        <v>5.6000000000000001E-2</v>
      </c>
      <c r="G31" s="1006" t="s">
        <v>2507</v>
      </c>
      <c r="H31" s="1007"/>
      <c r="I31" s="1007"/>
      <c r="J31" s="1007"/>
      <c r="K31" s="1008"/>
    </row>
    <row r="32" spans="1:33" s="966" customFormat="1" ht="13.5" customHeight="1" thickBot="1">
      <c r="A32" s="996" t="s">
        <v>2508</v>
      </c>
      <c r="B32" s="997"/>
      <c r="C32" s="998">
        <f ca="1">ROUND((C4-C21-C22-C23-C25-C28-C31)/(1+C24+D25+D28),0)</f>
        <v>-70</v>
      </c>
      <c r="D32" s="997"/>
      <c r="E32" s="997"/>
      <c r="F32" s="997"/>
      <c r="G32" s="999" t="s">
        <v>2509</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32" t="s">
        <v>1074</v>
      </c>
      <c r="B2" s="3233" t="s">
        <v>1075</v>
      </c>
      <c r="C2" s="3233"/>
      <c r="D2" s="1297" t="s">
        <v>1076</v>
      </c>
      <c r="E2" s="1297" t="s">
        <v>1077</v>
      </c>
      <c r="F2" s="1297" t="s">
        <v>1078</v>
      </c>
      <c r="G2" s="1297" t="s">
        <v>1079</v>
      </c>
      <c r="H2" s="1297" t="s">
        <v>1080</v>
      </c>
      <c r="I2" s="1298" t="s">
        <v>1081</v>
      </c>
    </row>
    <row r="3" spans="1:9">
      <c r="A3" s="3232"/>
      <c r="B3" s="3233" t="s">
        <v>1082</v>
      </c>
      <c r="C3" s="3233"/>
      <c r="D3" s="1299"/>
      <c r="E3" s="1297"/>
      <c r="F3" s="1300"/>
      <c r="G3" s="1300"/>
      <c r="H3" s="1301"/>
      <c r="I3" s="1302">
        <f>ROUND(D3*E3*F3*G3*H3/10000,0)</f>
        <v>0</v>
      </c>
    </row>
    <row r="4" spans="1:9">
      <c r="A4" s="3232"/>
      <c r="B4" s="3233" t="s">
        <v>1083</v>
      </c>
      <c r="C4" s="3233"/>
      <c r="D4" s="1299"/>
      <c r="E4" s="1297"/>
      <c r="F4" s="1300"/>
      <c r="G4" s="1300"/>
      <c r="H4" s="1301"/>
      <c r="I4" s="1302">
        <f t="shared" ref="I4:I9" si="0">ROUND(D4*E4*F4*G4*H4/10000,0)</f>
        <v>0</v>
      </c>
    </row>
    <row r="5" spans="1:9">
      <c r="A5" s="3232"/>
      <c r="B5" s="3233" t="s">
        <v>1084</v>
      </c>
      <c r="C5" s="3233"/>
      <c r="D5" s="1299"/>
      <c r="E5" s="1297"/>
      <c r="F5" s="1300"/>
      <c r="G5" s="1300"/>
      <c r="H5" s="1301"/>
      <c r="I5" s="1302">
        <f t="shared" si="0"/>
        <v>0</v>
      </c>
    </row>
    <row r="6" spans="1:9">
      <c r="A6" s="3232"/>
      <c r="B6" s="3233" t="s">
        <v>1085</v>
      </c>
      <c r="C6" s="3233"/>
      <c r="D6" s="1299"/>
      <c r="E6" s="1297"/>
      <c r="F6" s="1300"/>
      <c r="G6" s="1300"/>
      <c r="H6" s="1301"/>
      <c r="I6" s="1302">
        <f t="shared" si="0"/>
        <v>0</v>
      </c>
    </row>
    <row r="7" spans="1:9">
      <c r="A7" s="3232"/>
      <c r="B7" s="3233" t="s">
        <v>1086</v>
      </c>
      <c r="C7" s="3233"/>
      <c r="D7" s="1299"/>
      <c r="E7" s="1297"/>
      <c r="F7" s="1300"/>
      <c r="G7" s="1300"/>
      <c r="H7" s="1301"/>
      <c r="I7" s="1302">
        <f t="shared" si="0"/>
        <v>0</v>
      </c>
    </row>
    <row r="8" spans="1:9">
      <c r="A8" s="3232"/>
      <c r="B8" s="3233" t="s">
        <v>1087</v>
      </c>
      <c r="C8" s="3233"/>
      <c r="D8" s="1299"/>
      <c r="E8" s="1297"/>
      <c r="F8" s="1300"/>
      <c r="G8" s="1300"/>
      <c r="H8" s="1301"/>
      <c r="I8" s="1302">
        <f t="shared" si="0"/>
        <v>0</v>
      </c>
    </row>
    <row r="9" spans="1:9">
      <c r="A9" s="3232"/>
      <c r="B9" s="3233" t="s">
        <v>1088</v>
      </c>
      <c r="C9" s="3233"/>
      <c r="D9" s="1299"/>
      <c r="E9" s="1297"/>
      <c r="F9" s="1300"/>
      <c r="G9" s="1300"/>
      <c r="H9" s="1301"/>
      <c r="I9" s="1302">
        <f t="shared" si="0"/>
        <v>0</v>
      </c>
    </row>
    <row r="10" spans="1:9">
      <c r="A10" s="3232"/>
      <c r="B10" s="3234" t="s">
        <v>1089</v>
      </c>
      <c r="C10" s="3234"/>
      <c r="D10" s="1303"/>
      <c r="E10" s="1303" t="e">
        <f>ROUND(D1*10000/D10/H9,0)</f>
        <v>#DIV/0!</v>
      </c>
      <c r="F10" s="1304"/>
      <c r="G10" s="1304"/>
      <c r="H10" s="1305"/>
      <c r="I10" s="1306">
        <f>SUM(I3:I9)</f>
        <v>0</v>
      </c>
    </row>
    <row r="11" spans="1:9" ht="14.25">
      <c r="A11" s="3232" t="s">
        <v>1090</v>
      </c>
      <c r="B11" s="3233" t="s">
        <v>1091</v>
      </c>
      <c r="C11" s="3233"/>
      <c r="D11" s="1299" t="s">
        <v>1092</v>
      </c>
      <c r="E11" s="1299" t="s">
        <v>1093</v>
      </c>
      <c r="F11" s="1300" t="s">
        <v>1094</v>
      </c>
      <c r="G11" s="1300" t="s">
        <v>1080</v>
      </c>
      <c r="H11" s="1307" t="s">
        <v>1095</v>
      </c>
      <c r="I11" s="1298" t="s">
        <v>1081</v>
      </c>
    </row>
    <row r="12" spans="1:9">
      <c r="A12" s="3232"/>
      <c r="B12" s="3233" t="s">
        <v>1096</v>
      </c>
      <c r="C12" s="3233"/>
      <c r="D12" s="1299"/>
      <c r="E12" s="1299"/>
      <c r="F12" s="1300"/>
      <c r="G12" s="1301"/>
      <c r="H12" s="1308"/>
      <c r="I12" s="1298">
        <f>ROUND(D12*E12*F12*G12/10000,0)</f>
        <v>0</v>
      </c>
    </row>
    <row r="13" spans="1:9">
      <c r="A13" s="3232"/>
      <c r="B13" s="3233" t="s">
        <v>1097</v>
      </c>
      <c r="C13" s="3233"/>
      <c r="D13" s="1299"/>
      <c r="E13" s="1299"/>
      <c r="F13" s="1300"/>
      <c r="G13" s="1301"/>
      <c r="H13" s="1308"/>
      <c r="I13" s="1298">
        <f>ROUND(D13*E13*F13*G13/10000,0)</f>
        <v>0</v>
      </c>
    </row>
    <row r="14" spans="1:9">
      <c r="A14" s="3232"/>
      <c r="B14" s="3233" t="s">
        <v>1098</v>
      </c>
      <c r="C14" s="3233"/>
      <c r="D14" s="1299"/>
      <c r="E14" s="1299"/>
      <c r="F14" s="1300"/>
      <c r="G14" s="1301"/>
      <c r="H14" s="1308"/>
      <c r="I14" s="1298">
        <f>ROUND(D14*E14*F14*G14/10000,0)</f>
        <v>0</v>
      </c>
    </row>
    <row r="15" spans="1:9">
      <c r="A15" s="3232"/>
      <c r="B15" s="3234" t="s">
        <v>1089</v>
      </c>
      <c r="C15" s="3234"/>
      <c r="D15" s="1303"/>
      <c r="E15" s="1303">
        <f>SUM(E12:E14)</f>
        <v>0</v>
      </c>
      <c r="F15" s="1304"/>
      <c r="G15" s="1301"/>
      <c r="H15" s="1308"/>
      <c r="I15" s="1309">
        <f>SUM(I12:I14)</f>
        <v>0</v>
      </c>
    </row>
    <row r="16" spans="1:9" ht="24">
      <c r="A16" s="3232" t="s">
        <v>1099</v>
      </c>
      <c r="B16" s="3233" t="s">
        <v>1100</v>
      </c>
      <c r="C16" s="3233"/>
      <c r="D16" s="1299" t="s">
        <v>1076</v>
      </c>
      <c r="E16" s="1310" t="s">
        <v>1101</v>
      </c>
      <c r="F16" s="1300" t="s">
        <v>1102</v>
      </c>
      <c r="G16" s="1301" t="s">
        <v>1080</v>
      </c>
      <c r="H16" s="1307" t="s">
        <v>1095</v>
      </c>
      <c r="I16" s="1298" t="s">
        <v>1081</v>
      </c>
    </row>
    <row r="17" spans="1:9" ht="14.25">
      <c r="A17" s="3232"/>
      <c r="B17" s="3233" t="s">
        <v>1103</v>
      </c>
      <c r="C17" s="3233"/>
      <c r="D17" s="1299"/>
      <c r="E17" s="1299"/>
      <c r="F17" s="1300"/>
      <c r="G17" s="1301"/>
      <c r="H17" s="1311"/>
      <c r="I17" s="1312">
        <f>ROUND(D17*E17*F17*G17/10000,0)</f>
        <v>0</v>
      </c>
    </row>
    <row r="18" spans="1:9" ht="14.25">
      <c r="A18" s="3232"/>
      <c r="B18" s="3233" t="s">
        <v>1104</v>
      </c>
      <c r="C18" s="3233"/>
      <c r="D18" s="1299"/>
      <c r="E18" s="1299"/>
      <c r="F18" s="1300"/>
      <c r="G18" s="1301"/>
      <c r="H18" s="1311"/>
      <c r="I18" s="1312">
        <f>ROUND(D18*E18*F18*G18/10000,0)</f>
        <v>0</v>
      </c>
    </row>
    <row r="19" spans="1:9" ht="14.25">
      <c r="A19" s="3232"/>
      <c r="B19" s="3233" t="s">
        <v>1105</v>
      </c>
      <c r="C19" s="3233"/>
      <c r="D19" s="1299"/>
      <c r="E19" s="1299"/>
      <c r="F19" s="1300"/>
      <c r="G19" s="1301"/>
      <c r="H19" s="1311"/>
      <c r="I19" s="1312">
        <f>ROUND(D19*E19*F19*G19/10000,0)</f>
        <v>0</v>
      </c>
    </row>
    <row r="20" spans="1:9">
      <c r="A20" s="3232"/>
      <c r="B20" s="3234" t="s">
        <v>1089</v>
      </c>
      <c r="C20" s="3234"/>
      <c r="D20" s="1303">
        <f>SUM(D17:D19)</f>
        <v>0</v>
      </c>
      <c r="E20" s="1303"/>
      <c r="F20" s="1304"/>
      <c r="G20" s="1301"/>
      <c r="H20" s="1308"/>
      <c r="I20" s="1309">
        <f>SUM(I17:I19)</f>
        <v>0</v>
      </c>
    </row>
    <row r="21" spans="1:9">
      <c r="A21" s="3232" t="s">
        <v>1106</v>
      </c>
      <c r="B21" s="3235"/>
      <c r="C21" s="3235"/>
      <c r="D21" s="3235"/>
      <c r="E21" s="3235"/>
      <c r="F21" s="3235"/>
      <c r="G21" s="3235"/>
      <c r="H21" s="1760">
        <v>0.1</v>
      </c>
      <c r="I21" s="1306">
        <f>ROUND(I10*H21,0)</f>
        <v>0</v>
      </c>
    </row>
    <row r="22" spans="1:9" ht="14.25">
      <c r="A22" s="3236" t="s">
        <v>1107</v>
      </c>
      <c r="B22" s="3237"/>
      <c r="C22" s="3238"/>
      <c r="D22" s="1313" t="s">
        <v>1108</v>
      </c>
      <c r="E22" s="1313" t="s">
        <v>1109</v>
      </c>
      <c r="F22" s="1314" t="s">
        <v>1110</v>
      </c>
      <c r="G22" s="1314" t="s">
        <v>1111</v>
      </c>
      <c r="H22" s="1307" t="s">
        <v>1112</v>
      </c>
      <c r="I22" s="1298" t="s">
        <v>1113</v>
      </c>
    </row>
    <row r="23" spans="1:9" ht="14.25" thickBot="1">
      <c r="A23" s="3239"/>
      <c r="B23" s="3240"/>
      <c r="C23" s="3241"/>
      <c r="D23" s="1315"/>
      <c r="E23" s="1315"/>
      <c r="F23" s="1315"/>
      <c r="G23" s="1316"/>
      <c r="H23" s="1317"/>
      <c r="I23" s="1318">
        <f>ROUND(E23*D23*F23*(1-G23)/10000,0)</f>
        <v>0</v>
      </c>
    </row>
    <row r="26" spans="1:9">
      <c r="A26" s="1319" t="s">
        <v>1114</v>
      </c>
      <c r="B26" s="1319"/>
      <c r="C26" s="1319"/>
      <c r="D26" s="1319"/>
      <c r="E26" s="3229">
        <f>C27-C30-C31-C32</f>
        <v>0</v>
      </c>
      <c r="F26" s="3229"/>
      <c r="G26" s="3229"/>
      <c r="H26" s="1733" t="s">
        <v>1336</v>
      </c>
    </row>
    <row r="27" spans="1:9">
      <c r="A27" s="1320">
        <v>1</v>
      </c>
      <c r="B27" s="1321" t="s">
        <v>1115</v>
      </c>
      <c r="C27" s="1321">
        <f>C28+C29</f>
        <v>0</v>
      </c>
      <c r="D27" s="1321"/>
      <c r="E27" s="3230"/>
      <c r="F27" s="3230"/>
      <c r="G27" s="3230"/>
    </row>
    <row r="28" spans="1:9">
      <c r="A28" s="1322" t="s">
        <v>1116</v>
      </c>
      <c r="B28" s="1321" t="s">
        <v>1117</v>
      </c>
      <c r="C28" s="1321"/>
      <c r="D28" s="1321"/>
      <c r="E28" s="3230"/>
      <c r="F28" s="3230"/>
      <c r="G28" s="3230"/>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1"/>
      <c r="F32" s="3231"/>
      <c r="G32" s="3231"/>
    </row>
    <row r="33" spans="1:7" hidden="1">
      <c r="A33" s="3226" t="s">
        <v>1126</v>
      </c>
      <c r="B33" s="3227"/>
      <c r="C33" s="3227"/>
      <c r="D33" s="3228"/>
      <c r="E33" s="3229"/>
      <c r="F33" s="3229"/>
      <c r="G33" s="3229"/>
    </row>
    <row r="34" spans="1:7" hidden="1">
      <c r="A34" s="1324">
        <v>1</v>
      </c>
      <c r="B34" s="1321" t="s">
        <v>1127</v>
      </c>
      <c r="C34" s="1321"/>
      <c r="D34" s="1321"/>
      <c r="E34" s="3230"/>
      <c r="F34" s="3230"/>
      <c r="G34" s="3230"/>
    </row>
    <row r="35" spans="1:7" hidden="1">
      <c r="A35" s="1324">
        <v>2</v>
      </c>
      <c r="B35" s="1321" t="s">
        <v>1128</v>
      </c>
      <c r="C35" s="1321"/>
      <c r="D35" s="1321"/>
      <c r="E35" s="3230"/>
      <c r="F35" s="3230"/>
      <c r="G35" s="3230"/>
    </row>
    <row r="36" spans="1:7" hidden="1">
      <c r="A36" s="1324">
        <v>3</v>
      </c>
      <c r="B36" s="1321" t="s">
        <v>1129</v>
      </c>
      <c r="C36" s="1321"/>
      <c r="D36" s="1321"/>
      <c r="E36" s="3230"/>
      <c r="F36" s="3230"/>
      <c r="G36" s="3230"/>
    </row>
    <row r="37" spans="1:7" hidden="1">
      <c r="A37" s="1324">
        <v>4</v>
      </c>
      <c r="B37" s="1321" t="s">
        <v>1130</v>
      </c>
      <c r="C37" s="1321"/>
      <c r="D37" s="1321"/>
      <c r="E37" s="3230"/>
      <c r="F37" s="3230"/>
      <c r="G37" s="3230"/>
    </row>
    <row r="38" spans="1:7" hidden="1">
      <c r="A38" s="3226" t="s">
        <v>1131</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576" t="s">
        <v>2520</v>
      </c>
      <c r="C1" s="1630" t="s">
        <v>2521</v>
      </c>
      <c r="D1" s="1617"/>
      <c r="E1" s="2577"/>
      <c r="F1" s="2578" t="s">
        <v>2522</v>
      </c>
      <c r="G1" s="1627" t="s">
        <v>2523</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1386</v>
      </c>
      <c r="B2" s="1414" t="e">
        <f ca="1">IF(C2="——",ROUND(C49*D3/10000,0),ROUND(C49*D3/10000,0)-D2)</f>
        <v>#DIV/0!</v>
      </c>
      <c r="C2" s="2580"/>
      <c r="D2" s="1361" t="e">
        <f ca="1">SUMIF(INDIRECT("'"&amp;F2&amp;"'"&amp;"!A:A"),"承租人权益价值",INDIRECT("'"&amp;F2&amp;"'"&amp;"!c:c"))</f>
        <v>#REF!</v>
      </c>
      <c r="E2" s="2581" t="s">
        <v>2524</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2525</v>
      </c>
      <c r="D3" s="399">
        <f>IF(D1="",'数据-汇总表'!E3,SUMIF('数据-汇总表'!$C19:$C33,D1,'数据-汇总表'!$E19:$E33))</f>
        <v>3095.6800000000007</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2526</v>
      </c>
      <c r="B4" s="402"/>
      <c r="C4" s="3265" t="s">
        <v>2527</v>
      </c>
      <c r="D4" s="3266"/>
      <c r="E4" s="3267" t="s">
        <v>2528</v>
      </c>
      <c r="F4" s="3268"/>
      <c r="G4" s="3265" t="s">
        <v>2529</v>
      </c>
      <c r="H4" s="3266"/>
      <c r="I4" s="3265" t="s">
        <v>2530</v>
      </c>
      <c r="J4" s="3266"/>
      <c r="K4" s="2590" t="s">
        <v>2531</v>
      </c>
      <c r="L4" s="1126"/>
      <c r="M4" s="1127"/>
      <c r="N4" s="1127"/>
      <c r="O4" s="1127"/>
      <c r="P4" s="3269" t="s">
        <v>2532</v>
      </c>
      <c r="Q4" s="3270"/>
      <c r="R4" s="3275" t="s">
        <v>2528</v>
      </c>
      <c r="S4" s="3276"/>
      <c r="T4" s="3275" t="s">
        <v>2529</v>
      </c>
      <c r="U4" s="3276"/>
      <c r="V4" s="3281" t="s">
        <v>2530</v>
      </c>
      <c r="W4" s="3281"/>
      <c r="X4" s="1808"/>
      <c r="Y4" s="3275" t="s">
        <v>2532</v>
      </c>
      <c r="Z4" s="3276"/>
      <c r="AA4" s="3262" t="s">
        <v>2528</v>
      </c>
      <c r="AB4" s="3262" t="s">
        <v>2529</v>
      </c>
      <c r="AC4" s="3262" t="s">
        <v>2530</v>
      </c>
    </row>
    <row r="5" spans="1:29" ht="15">
      <c r="A5" s="404"/>
      <c r="B5" s="405"/>
      <c r="C5" s="3284" t="s">
        <v>2533</v>
      </c>
      <c r="D5" s="3285"/>
      <c r="E5" s="3291" t="s">
        <v>2534</v>
      </c>
      <c r="F5" s="3292"/>
      <c r="G5" s="3284" t="s">
        <v>2535</v>
      </c>
      <c r="H5" s="3285"/>
      <c r="I5" s="3284" t="s">
        <v>2536</v>
      </c>
      <c r="J5" s="3285"/>
      <c r="K5" s="2591"/>
      <c r="L5" s="1126"/>
      <c r="M5" s="1127"/>
      <c r="N5" s="1127"/>
      <c r="O5" s="1127"/>
      <c r="P5" s="3271"/>
      <c r="Q5" s="3272"/>
      <c r="R5" s="3277"/>
      <c r="S5" s="3278"/>
      <c r="T5" s="3277"/>
      <c r="U5" s="3278"/>
      <c r="V5" s="3281"/>
      <c r="W5" s="3281"/>
      <c r="X5" s="1808"/>
      <c r="Y5" s="3277"/>
      <c r="Z5" s="3278"/>
      <c r="AA5" s="3263"/>
      <c r="AB5" s="3263"/>
      <c r="AC5" s="3263"/>
    </row>
    <row r="6" spans="1:29" ht="15.75" thickBot="1">
      <c r="A6" s="406"/>
      <c r="B6" s="407"/>
      <c r="C6" s="3282" t="s">
        <v>2537</v>
      </c>
      <c r="D6" s="3283"/>
      <c r="E6" s="3289" t="s">
        <v>2537</v>
      </c>
      <c r="F6" s="3290"/>
      <c r="G6" s="3282" t="s">
        <v>2537</v>
      </c>
      <c r="H6" s="3283"/>
      <c r="I6" s="3282" t="s">
        <v>2537</v>
      </c>
      <c r="J6" s="3283"/>
      <c r="K6" s="2591" t="s">
        <v>2538</v>
      </c>
      <c r="L6" s="1126"/>
      <c r="M6" s="1127"/>
      <c r="N6" s="1127"/>
      <c r="O6" s="1127"/>
      <c r="P6" s="3273"/>
      <c r="Q6" s="3274"/>
      <c r="R6" s="3277"/>
      <c r="S6" s="3278"/>
      <c r="T6" s="3279"/>
      <c r="U6" s="3280"/>
      <c r="V6" s="3281"/>
      <c r="W6" s="3281"/>
      <c r="X6" s="1808"/>
      <c r="Y6" s="3279"/>
      <c r="Z6" s="3280"/>
      <c r="AA6" s="3264"/>
      <c r="AB6" s="3264"/>
      <c r="AC6" s="3264"/>
    </row>
    <row r="7" spans="1:29" s="117" customFormat="1" ht="15.75" thickBot="1">
      <c r="A7" s="408" t="s">
        <v>2539</v>
      </c>
      <c r="B7" s="409"/>
      <c r="C7" s="410">
        <f>'数据-取费表'!B2</f>
        <v>43619</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286" t="s">
        <v>2540</v>
      </c>
      <c r="Q7" s="3288"/>
      <c r="R7" s="766" t="s">
        <v>23</v>
      </c>
      <c r="S7" s="767">
        <f t="shared" ref="S7:S15" si="0">F7</f>
        <v>0</v>
      </c>
      <c r="T7" s="766" t="s">
        <v>23</v>
      </c>
      <c r="U7" s="767">
        <f t="shared" ref="U7:U15" si="1">H7</f>
        <v>0</v>
      </c>
      <c r="V7" s="766" t="s">
        <v>23</v>
      </c>
      <c r="W7" s="767">
        <f t="shared" ref="W7:W15" si="2">J7</f>
        <v>0</v>
      </c>
      <c r="X7" s="768"/>
      <c r="Y7" s="3286" t="s">
        <v>2540</v>
      </c>
      <c r="Z7" s="3287"/>
      <c r="AA7" s="769" t="e">
        <f>D7/F7</f>
        <v>#DIV/0!</v>
      </c>
      <c r="AB7" s="769" t="e">
        <f>D7/H7</f>
        <v>#DIV/0!</v>
      </c>
      <c r="AC7" s="769" t="e">
        <f>D7/J7</f>
        <v>#DIV/0!</v>
      </c>
    </row>
    <row r="8" spans="1:29" s="117" customFormat="1" ht="15.75" thickBot="1">
      <c r="A8" s="408" t="s">
        <v>2541</v>
      </c>
      <c r="B8" s="409"/>
      <c r="C8" s="414" t="s">
        <v>2542</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286" t="s">
        <v>2543</v>
      </c>
      <c r="Q8" s="3287"/>
      <c r="R8" s="766" t="s">
        <v>23</v>
      </c>
      <c r="S8" s="767">
        <f t="shared" si="0"/>
        <v>0</v>
      </c>
      <c r="T8" s="766" t="s">
        <v>23</v>
      </c>
      <c r="U8" s="767">
        <f t="shared" si="1"/>
        <v>0</v>
      </c>
      <c r="V8" s="766" t="s">
        <v>23</v>
      </c>
      <c r="W8" s="767">
        <f t="shared" si="2"/>
        <v>0</v>
      </c>
      <c r="X8" s="768"/>
      <c r="Y8" s="3286" t="s">
        <v>2543</v>
      </c>
      <c r="Z8" s="3287"/>
      <c r="AA8" s="769" t="e">
        <f t="shared" ref="AA8:AA19" si="3">D8/F8</f>
        <v>#DIV/0!</v>
      </c>
      <c r="AB8" s="769" t="e">
        <f t="shared" ref="AB8:AB19" si="4">D8/H8</f>
        <v>#DIV/0!</v>
      </c>
      <c r="AC8" s="769"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261"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769">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1"/>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769">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1"/>
      <c r="Q11" s="1790" t="str">
        <f t="shared" si="6"/>
        <v>容积率</v>
      </c>
      <c r="R11" s="766" t="s">
        <v>21</v>
      </c>
      <c r="S11" s="767" t="e">
        <f t="shared" si="0"/>
        <v>#N/A</v>
      </c>
      <c r="T11" s="766" t="s">
        <v>21</v>
      </c>
      <c r="U11" s="767" t="e">
        <f t="shared" si="1"/>
        <v>#N/A</v>
      </c>
      <c r="V11" s="766" t="s">
        <v>21</v>
      </c>
      <c r="W11" s="767" t="e">
        <f t="shared" si="2"/>
        <v>#N/A</v>
      </c>
      <c r="X11" s="768"/>
      <c r="Y11" s="3081"/>
      <c r="Z11" s="55" t="str">
        <f t="shared" si="7"/>
        <v>容积率</v>
      </c>
      <c r="AA11" s="769" t="e">
        <f t="shared" si="3"/>
        <v>#N/A</v>
      </c>
      <c r="AB11" s="769" t="e">
        <f t="shared" si="4"/>
        <v>#N/A</v>
      </c>
      <c r="AC11" s="769"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261"/>
      <c r="Q12" s="1790">
        <f t="shared" si="6"/>
        <v>111</v>
      </c>
      <c r="R12" s="766" t="s">
        <v>21</v>
      </c>
      <c r="S12" s="767">
        <f t="shared" si="0"/>
        <v>100</v>
      </c>
      <c r="T12" s="766" t="s">
        <v>21</v>
      </c>
      <c r="U12" s="767">
        <f t="shared" si="1"/>
        <v>100</v>
      </c>
      <c r="V12" s="766" t="s">
        <v>21</v>
      </c>
      <c r="W12" s="767">
        <f t="shared" si="2"/>
        <v>100</v>
      </c>
      <c r="X12" s="768"/>
      <c r="Y12" s="3081"/>
      <c r="Z12" s="55">
        <f t="shared" si="7"/>
        <v>111</v>
      </c>
      <c r="AA12" s="769">
        <f>D12/F12</f>
        <v>1</v>
      </c>
      <c r="AB12" s="769">
        <f>D12/H12</f>
        <v>1</v>
      </c>
      <c r="AC12" s="769">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261"/>
      <c r="Q13" s="1790">
        <f t="shared" si="6"/>
        <v>111</v>
      </c>
      <c r="R13" s="766" t="s">
        <v>21</v>
      </c>
      <c r="S13" s="767">
        <f t="shared" si="0"/>
        <v>100</v>
      </c>
      <c r="T13" s="766" t="s">
        <v>21</v>
      </c>
      <c r="U13" s="767">
        <f t="shared" si="1"/>
        <v>100</v>
      </c>
      <c r="V13" s="766" t="s">
        <v>21</v>
      </c>
      <c r="W13" s="767">
        <f t="shared" si="2"/>
        <v>100</v>
      </c>
      <c r="X13" s="768"/>
      <c r="Y13" s="3081"/>
      <c r="Z13" s="55">
        <f t="shared" si="7"/>
        <v>111</v>
      </c>
      <c r="AA13" s="769">
        <f t="shared" si="3"/>
        <v>1</v>
      </c>
      <c r="AB13" s="769">
        <f t="shared" si="4"/>
        <v>1</v>
      </c>
      <c r="AC13" s="769">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261"/>
      <c r="Q14" s="1790">
        <f t="shared" si="6"/>
        <v>111</v>
      </c>
      <c r="R14" s="766" t="s">
        <v>21</v>
      </c>
      <c r="S14" s="767">
        <f t="shared" si="0"/>
        <v>100</v>
      </c>
      <c r="T14" s="766" t="s">
        <v>21</v>
      </c>
      <c r="U14" s="767">
        <f t="shared" si="1"/>
        <v>100</v>
      </c>
      <c r="V14" s="766" t="s">
        <v>21</v>
      </c>
      <c r="W14" s="767">
        <f t="shared" si="2"/>
        <v>100</v>
      </c>
      <c r="X14" s="768"/>
      <c r="Y14" s="3081"/>
      <c r="Z14" s="55">
        <f t="shared" si="7"/>
        <v>111</v>
      </c>
      <c r="AA14" s="769">
        <f t="shared" si="3"/>
        <v>1</v>
      </c>
      <c r="AB14" s="769">
        <f t="shared" si="4"/>
        <v>1</v>
      </c>
      <c r="AC14" s="769">
        <f t="shared" si="5"/>
        <v>1</v>
      </c>
    </row>
    <row r="15" spans="1:29" ht="99.75">
      <c r="A15" s="440" t="s">
        <v>2550</v>
      </c>
      <c r="B15" s="69" t="s">
        <v>2078</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59" t="s">
        <v>2551</v>
      </c>
      <c r="Q15" s="1805" t="str">
        <f t="shared" si="6"/>
        <v>居住社区成熟度</v>
      </c>
      <c r="R15" s="770" t="s">
        <v>21</v>
      </c>
      <c r="S15" s="771">
        <f t="shared" si="0"/>
        <v>100</v>
      </c>
      <c r="T15" s="770" t="s">
        <v>21</v>
      </c>
      <c r="U15" s="771">
        <f t="shared" si="1"/>
        <v>100</v>
      </c>
      <c r="V15" s="770" t="s">
        <v>21</v>
      </c>
      <c r="W15" s="771">
        <f t="shared" si="2"/>
        <v>100</v>
      </c>
      <c r="X15" s="1808"/>
      <c r="Y15" s="3252" t="s">
        <v>2551</v>
      </c>
      <c r="Z15" s="1809" t="str">
        <f t="shared" si="7"/>
        <v>居住社区成熟度</v>
      </c>
      <c r="AA15" s="1806">
        <f t="shared" si="3"/>
        <v>1</v>
      </c>
      <c r="AB15" s="1806">
        <f t="shared" si="4"/>
        <v>1</v>
      </c>
      <c r="AC15" s="1806">
        <f t="shared" si="5"/>
        <v>1</v>
      </c>
    </row>
    <row r="16" spans="1:29" ht="15">
      <c r="A16" s="428"/>
      <c r="B16" s="446"/>
      <c r="C16" s="447"/>
      <c r="D16" s="448"/>
      <c r="E16" s="2598"/>
      <c r="F16" s="448"/>
      <c r="G16" s="2599"/>
      <c r="H16" s="450"/>
      <c r="I16" s="2599"/>
      <c r="J16" s="448"/>
      <c r="K16" s="2600"/>
      <c r="L16" s="1136"/>
      <c r="M16" s="1127"/>
      <c r="N16" s="1127"/>
      <c r="O16" s="1127"/>
      <c r="P16" s="3260"/>
      <c r="Q16" s="1805"/>
      <c r="R16" s="770"/>
      <c r="S16" s="771"/>
      <c r="T16" s="770"/>
      <c r="U16" s="771"/>
      <c r="V16" s="770"/>
      <c r="W16" s="771"/>
      <c r="X16" s="1808"/>
      <c r="Y16" s="3253"/>
      <c r="Z16" s="1809"/>
      <c r="AA16" s="1806">
        <v>1</v>
      </c>
      <c r="AB16" s="1806">
        <v>1</v>
      </c>
      <c r="AC16" s="1806">
        <v>1</v>
      </c>
    </row>
    <row r="17" spans="1:29" ht="85.5">
      <c r="A17" s="428"/>
      <c r="B17" s="451" t="s">
        <v>2090</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60"/>
      <c r="Q17" s="1805" t="str">
        <f>B17</f>
        <v>交通便捷度</v>
      </c>
      <c r="R17" s="770" t="s">
        <v>21</v>
      </c>
      <c r="S17" s="771">
        <f>F17</f>
        <v>100</v>
      </c>
      <c r="T17" s="770" t="s">
        <v>21</v>
      </c>
      <c r="U17" s="771">
        <f>H17</f>
        <v>100</v>
      </c>
      <c r="V17" s="770" t="s">
        <v>21</v>
      </c>
      <c r="W17" s="771">
        <f>J17</f>
        <v>100</v>
      </c>
      <c r="X17" s="1808"/>
      <c r="Y17" s="3253"/>
      <c r="Z17" s="1809" t="str">
        <f>Q17</f>
        <v>交通便捷度</v>
      </c>
      <c r="AA17" s="1806">
        <f t="shared" si="3"/>
        <v>1</v>
      </c>
      <c r="AB17" s="1806">
        <f t="shared" si="4"/>
        <v>1</v>
      </c>
      <c r="AC17" s="1806">
        <f t="shared" si="5"/>
        <v>1</v>
      </c>
    </row>
    <row r="18" spans="1:29" ht="15">
      <c r="A18" s="428"/>
      <c r="B18" s="456"/>
      <c r="C18" s="2602"/>
      <c r="D18" s="450"/>
      <c r="E18" s="2603"/>
      <c r="F18" s="450"/>
      <c r="G18" s="2604"/>
      <c r="H18" s="448"/>
      <c r="I18" s="2604"/>
      <c r="J18" s="448"/>
      <c r="K18" s="2600"/>
      <c r="L18" s="1136"/>
      <c r="M18" s="1127"/>
      <c r="N18" s="1127"/>
      <c r="O18" s="1127"/>
      <c r="P18" s="3260"/>
      <c r="Q18" s="1805"/>
      <c r="R18" s="770"/>
      <c r="S18" s="771"/>
      <c r="T18" s="770"/>
      <c r="U18" s="771"/>
      <c r="V18" s="770"/>
      <c r="W18" s="771"/>
      <c r="X18" s="1808"/>
      <c r="Y18" s="3253"/>
      <c r="Z18" s="1809"/>
      <c r="AA18" s="1806">
        <v>1</v>
      </c>
      <c r="AB18" s="1806">
        <v>1</v>
      </c>
      <c r="AC18" s="1806">
        <v>1</v>
      </c>
    </row>
    <row r="19" spans="1:29" ht="42.75">
      <c r="A19" s="428"/>
      <c r="B19" s="451" t="s">
        <v>2088</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60"/>
      <c r="Q19" s="1805" t="str">
        <f>B19</f>
        <v>公共配套设施</v>
      </c>
      <c r="R19" s="770" t="s">
        <v>21</v>
      </c>
      <c r="S19" s="771">
        <f>F19</f>
        <v>100</v>
      </c>
      <c r="T19" s="770" t="s">
        <v>21</v>
      </c>
      <c r="U19" s="771">
        <f>H19</f>
        <v>100</v>
      </c>
      <c r="V19" s="770" t="s">
        <v>21</v>
      </c>
      <c r="W19" s="771">
        <f>J19</f>
        <v>100</v>
      </c>
      <c r="X19" s="1808"/>
      <c r="Y19" s="3253"/>
      <c r="Z19" s="1809" t="str">
        <f>Q19</f>
        <v>公共配套设施</v>
      </c>
      <c r="AA19" s="1806">
        <f t="shared" si="3"/>
        <v>1</v>
      </c>
      <c r="AB19" s="1806">
        <f t="shared" si="4"/>
        <v>1</v>
      </c>
      <c r="AC19" s="1806">
        <f t="shared" si="5"/>
        <v>1</v>
      </c>
    </row>
    <row r="20" spans="1:29" ht="15">
      <c r="A20" s="428"/>
      <c r="B20" s="456"/>
      <c r="C20" s="447"/>
      <c r="D20" s="448"/>
      <c r="E20" s="2598"/>
      <c r="F20" s="448"/>
      <c r="G20" s="2599"/>
      <c r="H20" s="448"/>
      <c r="I20" s="2599"/>
      <c r="J20" s="448"/>
      <c r="K20" s="2600"/>
      <c r="L20" s="1136"/>
      <c r="M20" s="1127"/>
      <c r="N20" s="1127"/>
      <c r="O20" s="1127"/>
      <c r="P20" s="3260"/>
      <c r="Q20" s="1805"/>
      <c r="R20" s="770"/>
      <c r="S20" s="771"/>
      <c r="T20" s="770"/>
      <c r="U20" s="771"/>
      <c r="V20" s="770"/>
      <c r="W20" s="771"/>
      <c r="X20" s="1808"/>
      <c r="Y20" s="3253"/>
      <c r="Z20" s="1809"/>
      <c r="AA20" s="1806">
        <v>1</v>
      </c>
      <c r="AB20" s="1806">
        <v>1</v>
      </c>
      <c r="AC20" s="1806">
        <v>1</v>
      </c>
    </row>
    <row r="21" spans="1:29" ht="28.5">
      <c r="A21" s="428"/>
      <c r="B21" s="1380" t="s">
        <v>2091</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60"/>
      <c r="Q21" s="1805" t="str">
        <f>B21</f>
        <v>基础设施水平</v>
      </c>
      <c r="R21" s="770" t="s">
        <v>17</v>
      </c>
      <c r="S21" s="771">
        <f>F21</f>
        <v>100</v>
      </c>
      <c r="T21" s="770" t="s">
        <v>17</v>
      </c>
      <c r="U21" s="771">
        <f>H21</f>
        <v>100</v>
      </c>
      <c r="V21" s="770" t="s">
        <v>17</v>
      </c>
      <c r="W21" s="771">
        <f>J21</f>
        <v>100</v>
      </c>
      <c r="X21" s="1808"/>
      <c r="Y21" s="3253"/>
      <c r="Z21" s="1809" t="str">
        <f>Q21</f>
        <v>基础设施水平</v>
      </c>
      <c r="AA21" s="1806">
        <f t="shared" ref="AA21" si="8">D21/F21</f>
        <v>1</v>
      </c>
      <c r="AB21" s="1806">
        <f t="shared" ref="AB21" si="9">D21/H21</f>
        <v>1</v>
      </c>
      <c r="AC21" s="1806">
        <f t="shared" ref="AC21" si="10">D21/J21</f>
        <v>1</v>
      </c>
    </row>
    <row r="22" spans="1:29" ht="15">
      <c r="A22" s="428"/>
      <c r="B22" s="1380"/>
      <c r="C22" s="2602"/>
      <c r="D22" s="448"/>
      <c r="E22" s="447"/>
      <c r="F22" s="448"/>
      <c r="G22" s="2605"/>
      <c r="H22" s="448"/>
      <c r="I22" s="447"/>
      <c r="J22" s="448"/>
      <c r="K22" s="2606"/>
      <c r="L22" s="1136"/>
      <c r="M22" s="1127"/>
      <c r="N22" s="1127"/>
      <c r="O22" s="1127"/>
      <c r="P22" s="3260"/>
      <c r="Q22" s="1805"/>
      <c r="R22" s="770"/>
      <c r="S22" s="771"/>
      <c r="T22" s="770"/>
      <c r="U22" s="771"/>
      <c r="V22" s="770"/>
      <c r="W22" s="771"/>
      <c r="X22" s="1808"/>
      <c r="Y22" s="3253"/>
      <c r="Z22" s="1809"/>
      <c r="AA22" s="1806">
        <v>1</v>
      </c>
      <c r="AB22" s="1806">
        <v>1</v>
      </c>
      <c r="AC22" s="1806">
        <v>1</v>
      </c>
    </row>
    <row r="23" spans="1:29" ht="57">
      <c r="A23" s="428"/>
      <c r="B23" s="451" t="s">
        <v>2095</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60"/>
      <c r="Q23" s="1805" t="str">
        <f>B23</f>
        <v>自然及人文环境</v>
      </c>
      <c r="R23" s="770" t="s">
        <v>21</v>
      </c>
      <c r="S23" s="771">
        <f>F23</f>
        <v>100</v>
      </c>
      <c r="T23" s="770" t="s">
        <v>21</v>
      </c>
      <c r="U23" s="771">
        <f>H23</f>
        <v>100</v>
      </c>
      <c r="V23" s="770" t="s">
        <v>21</v>
      </c>
      <c r="W23" s="771">
        <f>J23</f>
        <v>100</v>
      </c>
      <c r="X23" s="1808"/>
      <c r="Y23" s="3253"/>
      <c r="Z23" s="1809" t="str">
        <f>Q23</f>
        <v>自然及人文环境</v>
      </c>
      <c r="AA23" s="1806">
        <f>D23/F23</f>
        <v>1</v>
      </c>
      <c r="AB23" s="1806">
        <f>D23/H23</f>
        <v>1</v>
      </c>
      <c r="AC23" s="1806">
        <f>D23/J23</f>
        <v>1</v>
      </c>
    </row>
    <row r="24" spans="1:29" ht="15">
      <c r="A24" s="428"/>
      <c r="B24" s="456"/>
      <c r="C24" s="447"/>
      <c r="D24" s="448"/>
      <c r="E24" s="2598"/>
      <c r="F24" s="448"/>
      <c r="G24" s="2599"/>
      <c r="H24" s="448"/>
      <c r="I24" s="2599"/>
      <c r="J24" s="448"/>
      <c r="K24" s="2600"/>
      <c r="L24" s="1136"/>
      <c r="M24" s="1127"/>
      <c r="N24" s="1127"/>
      <c r="O24" s="1127"/>
      <c r="P24" s="3260"/>
      <c r="Q24" s="1805"/>
      <c r="R24" s="770"/>
      <c r="S24" s="771"/>
      <c r="T24" s="770"/>
      <c r="U24" s="771"/>
      <c r="V24" s="770"/>
      <c r="W24" s="771"/>
      <c r="X24" s="1808"/>
      <c r="Y24" s="3253"/>
      <c r="Z24" s="1809"/>
      <c r="AA24" s="1806">
        <v>1</v>
      </c>
      <c r="AB24" s="1806">
        <v>1</v>
      </c>
      <c r="AC24" s="1806">
        <v>1</v>
      </c>
    </row>
    <row r="25" spans="1:29" ht="15">
      <c r="A25" s="428"/>
      <c r="B25" s="422" t="s">
        <v>2552</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60"/>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53"/>
      <c r="Z25" s="1809" t="str">
        <f>Q25</f>
        <v>楼层-1</v>
      </c>
      <c r="AA25" s="1806">
        <f t="shared" ref="AA25:AA46" si="15">D25/F25</f>
        <v>1</v>
      </c>
      <c r="AB25" s="1806">
        <f t="shared" ref="AB25:AB46" si="16">D25/H25</f>
        <v>1</v>
      </c>
      <c r="AC25" s="1806">
        <f t="shared" ref="AC25:AC46" si="17">D25/J25</f>
        <v>1</v>
      </c>
    </row>
    <row r="26" spans="1:29" ht="15">
      <c r="A26" s="428"/>
      <c r="B26" s="422" t="s">
        <v>2553</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60"/>
      <c r="Q26" s="1805" t="str">
        <f t="shared" si="11"/>
        <v>朝向</v>
      </c>
      <c r="R26" s="770" t="s">
        <v>21</v>
      </c>
      <c r="S26" s="771">
        <f t="shared" si="12"/>
        <v>100</v>
      </c>
      <c r="T26" s="770" t="s">
        <v>21</v>
      </c>
      <c r="U26" s="771">
        <f t="shared" si="13"/>
        <v>100</v>
      </c>
      <c r="V26" s="770" t="s">
        <v>21</v>
      </c>
      <c r="W26" s="771">
        <f t="shared" si="14"/>
        <v>100</v>
      </c>
      <c r="X26" s="1808"/>
      <c r="Y26" s="3253"/>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60"/>
      <c r="Q27" s="1790">
        <f t="shared" si="11"/>
        <v>111</v>
      </c>
      <c r="R27" s="766" t="s">
        <v>21</v>
      </c>
      <c r="S27" s="767">
        <f t="shared" si="12"/>
        <v>100</v>
      </c>
      <c r="T27" s="766" t="s">
        <v>21</v>
      </c>
      <c r="U27" s="767">
        <f t="shared" si="13"/>
        <v>100</v>
      </c>
      <c r="V27" s="766" t="s">
        <v>21</v>
      </c>
      <c r="W27" s="767">
        <f t="shared" si="14"/>
        <v>100</v>
      </c>
      <c r="X27" s="768"/>
      <c r="Y27" s="3253"/>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60"/>
      <c r="Q28" s="1805">
        <f t="shared" si="11"/>
        <v>111</v>
      </c>
      <c r="R28" s="770" t="s">
        <v>21</v>
      </c>
      <c r="S28" s="771">
        <f t="shared" si="12"/>
        <v>100</v>
      </c>
      <c r="T28" s="770" t="s">
        <v>21</v>
      </c>
      <c r="U28" s="771">
        <f t="shared" si="13"/>
        <v>100</v>
      </c>
      <c r="V28" s="770" t="s">
        <v>21</v>
      </c>
      <c r="W28" s="771">
        <f t="shared" si="14"/>
        <v>100</v>
      </c>
      <c r="X28" s="1808"/>
      <c r="Y28" s="3253"/>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60"/>
      <c r="Q29" s="1805">
        <f t="shared" si="11"/>
        <v>111</v>
      </c>
      <c r="R29" s="770" t="s">
        <v>21</v>
      </c>
      <c r="S29" s="771">
        <f t="shared" si="12"/>
        <v>100</v>
      </c>
      <c r="T29" s="770" t="s">
        <v>21</v>
      </c>
      <c r="U29" s="771">
        <f t="shared" si="13"/>
        <v>100</v>
      </c>
      <c r="V29" s="770" t="s">
        <v>21</v>
      </c>
      <c r="W29" s="771">
        <f t="shared" si="14"/>
        <v>100</v>
      </c>
      <c r="X29" s="1808"/>
      <c r="Y29" s="3253"/>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60"/>
      <c r="Q30" s="1805">
        <f t="shared" si="11"/>
        <v>111</v>
      </c>
      <c r="R30" s="770" t="s">
        <v>21</v>
      </c>
      <c r="S30" s="771">
        <f t="shared" si="12"/>
        <v>100</v>
      </c>
      <c r="T30" s="770" t="s">
        <v>21</v>
      </c>
      <c r="U30" s="771">
        <f t="shared" si="13"/>
        <v>100</v>
      </c>
      <c r="V30" s="770" t="s">
        <v>21</v>
      </c>
      <c r="W30" s="771">
        <f t="shared" si="14"/>
        <v>100</v>
      </c>
      <c r="X30" s="1808"/>
      <c r="Y30" s="3253"/>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60"/>
      <c r="Q31" s="1805">
        <f t="shared" si="11"/>
        <v>111</v>
      </c>
      <c r="R31" s="770" t="s">
        <v>21</v>
      </c>
      <c r="S31" s="771">
        <f t="shared" si="12"/>
        <v>100</v>
      </c>
      <c r="T31" s="770" t="s">
        <v>21</v>
      </c>
      <c r="U31" s="771">
        <f t="shared" si="13"/>
        <v>100</v>
      </c>
      <c r="V31" s="770" t="s">
        <v>21</v>
      </c>
      <c r="W31" s="771">
        <f t="shared" si="14"/>
        <v>100</v>
      </c>
      <c r="X31" s="1808"/>
      <c r="Y31" s="3253"/>
      <c r="Z31" s="1809">
        <f t="shared" si="18"/>
        <v>111</v>
      </c>
      <c r="AA31" s="1806">
        <f t="shared" si="15"/>
        <v>1</v>
      </c>
      <c r="AB31" s="1806">
        <f t="shared" si="16"/>
        <v>1</v>
      </c>
      <c r="AC31" s="1806">
        <f t="shared" si="17"/>
        <v>1</v>
      </c>
    </row>
    <row r="32" spans="1:29" ht="15">
      <c r="A32" s="440" t="s">
        <v>2554</v>
      </c>
      <c r="B32" s="71" t="s">
        <v>2555</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54" t="s">
        <v>2556</v>
      </c>
      <c r="Q32" s="1805" t="str">
        <f t="shared" si="11"/>
        <v>建筑类型</v>
      </c>
      <c r="R32" s="770" t="s">
        <v>21</v>
      </c>
      <c r="S32" s="771">
        <f t="shared" si="12"/>
        <v>100</v>
      </c>
      <c r="T32" s="770" t="s">
        <v>21</v>
      </c>
      <c r="U32" s="771">
        <f t="shared" si="13"/>
        <v>100</v>
      </c>
      <c r="V32" s="770" t="s">
        <v>21</v>
      </c>
      <c r="W32" s="771">
        <f t="shared" si="14"/>
        <v>100</v>
      </c>
      <c r="X32" s="1808"/>
      <c r="Y32" s="3257" t="s">
        <v>2556</v>
      </c>
      <c r="Z32" s="1809" t="str">
        <f t="shared" si="18"/>
        <v>建筑类型</v>
      </c>
      <c r="AA32" s="1806">
        <f t="shared" si="15"/>
        <v>1</v>
      </c>
      <c r="AB32" s="1806">
        <f t="shared" si="16"/>
        <v>1</v>
      </c>
      <c r="AC32" s="1806">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55"/>
      <c r="Q33" s="772" t="str">
        <f t="shared" si="11"/>
        <v>项目建筑规模</v>
      </c>
      <c r="R33" s="773" t="s">
        <v>21</v>
      </c>
      <c r="S33" s="774" t="e">
        <f t="shared" si="12"/>
        <v>#N/A</v>
      </c>
      <c r="T33" s="773" t="s">
        <v>21</v>
      </c>
      <c r="U33" s="774" t="e">
        <f t="shared" si="13"/>
        <v>#N/A</v>
      </c>
      <c r="V33" s="773" t="s">
        <v>21</v>
      </c>
      <c r="W33" s="774" t="e">
        <f t="shared" si="14"/>
        <v>#N/A</v>
      </c>
      <c r="X33" s="775"/>
      <c r="Y33" s="3257"/>
      <c r="Z33" s="776" t="str">
        <f t="shared" si="18"/>
        <v>项目建筑规模</v>
      </c>
      <c r="AA33" s="1806" t="e">
        <f t="shared" si="15"/>
        <v>#N/A</v>
      </c>
      <c r="AB33" s="1806" t="e">
        <f t="shared" si="16"/>
        <v>#N/A</v>
      </c>
      <c r="AC33" s="1806" t="e">
        <f t="shared" si="17"/>
        <v>#N/A</v>
      </c>
    </row>
    <row r="34" spans="1:29" ht="15">
      <c r="A34" s="472"/>
      <c r="B34" s="422" t="s">
        <v>2558</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55"/>
      <c r="Q34" s="1805" t="str">
        <f t="shared" si="11"/>
        <v>建筑结构</v>
      </c>
      <c r="R34" s="770" t="s">
        <v>21</v>
      </c>
      <c r="S34" s="771">
        <f t="shared" si="12"/>
        <v>100</v>
      </c>
      <c r="T34" s="770" t="s">
        <v>21</v>
      </c>
      <c r="U34" s="771">
        <f t="shared" si="13"/>
        <v>100</v>
      </c>
      <c r="V34" s="770" t="s">
        <v>21</v>
      </c>
      <c r="W34" s="771">
        <f t="shared" si="14"/>
        <v>100</v>
      </c>
      <c r="X34" s="1808"/>
      <c r="Y34" s="3257"/>
      <c r="Z34" s="1809" t="str">
        <f t="shared" si="18"/>
        <v>建筑结构</v>
      </c>
      <c r="AA34" s="1806">
        <f t="shared" si="15"/>
        <v>1</v>
      </c>
      <c r="AB34" s="1806">
        <f t="shared" si="16"/>
        <v>1</v>
      </c>
      <c r="AC34" s="1806">
        <f t="shared" si="17"/>
        <v>1</v>
      </c>
    </row>
    <row r="35" spans="1:29" ht="15">
      <c r="A35" s="472"/>
      <c r="B35" s="422" t="s">
        <v>2559</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55"/>
      <c r="Q35" s="1805" t="str">
        <f t="shared" si="11"/>
        <v>建筑品质</v>
      </c>
      <c r="R35" s="770" t="s">
        <v>21</v>
      </c>
      <c r="S35" s="771">
        <f t="shared" si="12"/>
        <v>100</v>
      </c>
      <c r="T35" s="770" t="s">
        <v>21</v>
      </c>
      <c r="U35" s="771">
        <f t="shared" si="13"/>
        <v>100</v>
      </c>
      <c r="V35" s="770" t="s">
        <v>21</v>
      </c>
      <c r="W35" s="771">
        <f t="shared" si="14"/>
        <v>100</v>
      </c>
      <c r="X35" s="1808"/>
      <c r="Y35" s="3257"/>
      <c r="Z35" s="1809" t="str">
        <f t="shared" si="18"/>
        <v>建筑品质</v>
      </c>
      <c r="AA35" s="1806">
        <f t="shared" si="15"/>
        <v>1</v>
      </c>
      <c r="AB35" s="1806">
        <f t="shared" si="16"/>
        <v>1</v>
      </c>
      <c r="AC35" s="1806">
        <f t="shared" si="17"/>
        <v>1</v>
      </c>
    </row>
    <row r="36" spans="1:29" ht="15">
      <c r="A36" s="472"/>
      <c r="B36" s="422" t="s">
        <v>2560</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55"/>
      <c r="Q36" s="1805" t="str">
        <f t="shared" si="11"/>
        <v>公共部分装修</v>
      </c>
      <c r="R36" s="770" t="s">
        <v>21</v>
      </c>
      <c r="S36" s="771">
        <f t="shared" si="12"/>
        <v>100</v>
      </c>
      <c r="T36" s="770" t="s">
        <v>21</v>
      </c>
      <c r="U36" s="771">
        <f t="shared" si="13"/>
        <v>100</v>
      </c>
      <c r="V36" s="770" t="s">
        <v>21</v>
      </c>
      <c r="W36" s="771">
        <f t="shared" si="14"/>
        <v>100</v>
      </c>
      <c r="X36" s="1808"/>
      <c r="Y36" s="3257"/>
      <c r="Z36" s="1809" t="str">
        <f t="shared" si="18"/>
        <v>公共部分装修</v>
      </c>
      <c r="AA36" s="1806">
        <f t="shared" si="15"/>
        <v>1</v>
      </c>
      <c r="AB36" s="1806">
        <f t="shared" si="16"/>
        <v>1</v>
      </c>
      <c r="AC36" s="1806">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5"/>
      <c r="Q37" s="1790" t="str">
        <f t="shared" si="11"/>
        <v>成新度</v>
      </c>
      <c r="R37" s="766" t="s">
        <v>21</v>
      </c>
      <c r="S37" s="767" t="e">
        <f t="shared" si="12"/>
        <v>#N/A</v>
      </c>
      <c r="T37" s="766" t="s">
        <v>21</v>
      </c>
      <c r="U37" s="767" t="e">
        <f t="shared" si="13"/>
        <v>#N/A</v>
      </c>
      <c r="V37" s="766" t="s">
        <v>21</v>
      </c>
      <c r="W37" s="767" t="e">
        <f t="shared" si="14"/>
        <v>#N/A</v>
      </c>
      <c r="X37" s="768"/>
      <c r="Y37" s="3257"/>
      <c r="Z37" s="55" t="str">
        <f t="shared" si="18"/>
        <v>成新度</v>
      </c>
      <c r="AA37" s="769" t="e">
        <f t="shared" si="15"/>
        <v>#N/A</v>
      </c>
      <c r="AB37" s="769" t="e">
        <f t="shared" si="16"/>
        <v>#N/A</v>
      </c>
      <c r="AC37" s="769" t="e">
        <f t="shared" si="17"/>
        <v>#N/A</v>
      </c>
    </row>
    <row r="38" spans="1:29" ht="15">
      <c r="A38" s="472"/>
      <c r="B38" s="422" t="s">
        <v>2562</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55" t="s">
        <v>2556</v>
      </c>
      <c r="Q38" s="1805" t="str">
        <f t="shared" si="11"/>
        <v>物业管理</v>
      </c>
      <c r="R38" s="770" t="s">
        <v>21</v>
      </c>
      <c r="S38" s="771">
        <f t="shared" si="12"/>
        <v>100</v>
      </c>
      <c r="T38" s="770" t="s">
        <v>21</v>
      </c>
      <c r="U38" s="771">
        <f t="shared" si="13"/>
        <v>100</v>
      </c>
      <c r="V38" s="770" t="s">
        <v>21</v>
      </c>
      <c r="W38" s="771">
        <f t="shared" si="14"/>
        <v>100</v>
      </c>
      <c r="X38" s="1808"/>
      <c r="Y38" s="3257" t="s">
        <v>2556</v>
      </c>
      <c r="Z38" s="1809" t="str">
        <f t="shared" si="18"/>
        <v>物业管理</v>
      </c>
      <c r="AA38" s="1806">
        <f t="shared" si="15"/>
        <v>1</v>
      </c>
      <c r="AB38" s="1806">
        <f t="shared" si="16"/>
        <v>1</v>
      </c>
      <c r="AC38" s="1806">
        <f t="shared" si="17"/>
        <v>1</v>
      </c>
    </row>
    <row r="39" spans="1:29" ht="15">
      <c r="A39" s="472"/>
      <c r="B39" s="422" t="s">
        <v>2563</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55"/>
      <c r="Q39" s="1805" t="str">
        <f t="shared" si="11"/>
        <v>市政基础设施</v>
      </c>
      <c r="R39" s="770" t="s">
        <v>21</v>
      </c>
      <c r="S39" s="771">
        <f t="shared" si="12"/>
        <v>100</v>
      </c>
      <c r="T39" s="770" t="s">
        <v>21</v>
      </c>
      <c r="U39" s="771">
        <f t="shared" si="13"/>
        <v>100</v>
      </c>
      <c r="V39" s="770" t="s">
        <v>21</v>
      </c>
      <c r="W39" s="771">
        <f t="shared" si="14"/>
        <v>100</v>
      </c>
      <c r="X39" s="1808"/>
      <c r="Y39" s="3257"/>
      <c r="Z39" s="1809" t="str">
        <f t="shared" si="18"/>
        <v>市政基础设施</v>
      </c>
      <c r="AA39" s="1806">
        <f t="shared" si="15"/>
        <v>1</v>
      </c>
      <c r="AB39" s="1806">
        <f t="shared" si="16"/>
        <v>1</v>
      </c>
      <c r="AC39" s="1806">
        <f t="shared" si="17"/>
        <v>1</v>
      </c>
    </row>
    <row r="40" spans="1:29" ht="15">
      <c r="A40" s="472"/>
      <c r="B40" s="422" t="s">
        <v>2564</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55"/>
      <c r="Q40" s="1805" t="str">
        <f t="shared" si="11"/>
        <v>房型</v>
      </c>
      <c r="R40" s="770" t="s">
        <v>21</v>
      </c>
      <c r="S40" s="771">
        <f t="shared" si="12"/>
        <v>100</v>
      </c>
      <c r="T40" s="770" t="s">
        <v>21</v>
      </c>
      <c r="U40" s="771">
        <f t="shared" si="13"/>
        <v>100</v>
      </c>
      <c r="V40" s="770" t="s">
        <v>21</v>
      </c>
      <c r="W40" s="771">
        <f t="shared" si="14"/>
        <v>100</v>
      </c>
      <c r="X40" s="1808"/>
      <c r="Y40" s="3257"/>
      <c r="Z40" s="1809" t="str">
        <f t="shared" si="18"/>
        <v>房型</v>
      </c>
      <c r="AA40" s="1806">
        <f t="shared" si="15"/>
        <v>1</v>
      </c>
      <c r="AB40" s="1806">
        <f t="shared" si="16"/>
        <v>1</v>
      </c>
      <c r="AC40" s="1806">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55"/>
      <c r="Q41" s="772" t="str">
        <f t="shared" si="11"/>
        <v>单套/主力户型建筑面积</v>
      </c>
      <c r="R41" s="773" t="s">
        <v>21</v>
      </c>
      <c r="S41" s="774">
        <f t="shared" si="12"/>
        <v>100</v>
      </c>
      <c r="T41" s="773" t="s">
        <v>21</v>
      </c>
      <c r="U41" s="774">
        <f t="shared" si="13"/>
        <v>100</v>
      </c>
      <c r="V41" s="773" t="s">
        <v>21</v>
      </c>
      <c r="W41" s="774">
        <f t="shared" si="14"/>
        <v>100</v>
      </c>
      <c r="X41" s="775"/>
      <c r="Y41" s="3257"/>
      <c r="Z41" s="776" t="str">
        <f t="shared" si="18"/>
        <v>单套/主力户型建筑面积</v>
      </c>
      <c r="AA41" s="1806">
        <f t="shared" si="15"/>
        <v>1</v>
      </c>
      <c r="AB41" s="1806">
        <f t="shared" si="16"/>
        <v>1</v>
      </c>
      <c r="AC41" s="1806">
        <f t="shared" si="17"/>
        <v>1</v>
      </c>
    </row>
    <row r="42" spans="1:29" ht="15">
      <c r="A42" s="472"/>
      <c r="B42" s="422" t="s">
        <v>2566</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55"/>
      <c r="Q42" s="1805" t="str">
        <f t="shared" si="11"/>
        <v>内部装修</v>
      </c>
      <c r="R42" s="770" t="s">
        <v>21</v>
      </c>
      <c r="S42" s="771">
        <f t="shared" si="12"/>
        <v>100</v>
      </c>
      <c r="T42" s="770" t="s">
        <v>21</v>
      </c>
      <c r="U42" s="771">
        <f t="shared" si="13"/>
        <v>100</v>
      </c>
      <c r="V42" s="770" t="s">
        <v>21</v>
      </c>
      <c r="W42" s="771">
        <f t="shared" si="14"/>
        <v>100</v>
      </c>
      <c r="X42" s="1808"/>
      <c r="Y42" s="3257"/>
      <c r="Z42" s="1809" t="str">
        <f t="shared" si="18"/>
        <v>内部装修</v>
      </c>
      <c r="AA42" s="1806">
        <f t="shared" si="15"/>
        <v>1</v>
      </c>
      <c r="AB42" s="1806">
        <f t="shared" si="16"/>
        <v>1</v>
      </c>
      <c r="AC42" s="1806">
        <f t="shared" si="17"/>
        <v>1</v>
      </c>
    </row>
    <row r="43" spans="1:29" ht="15">
      <c r="A43" s="472"/>
      <c r="B43" s="422" t="s">
        <v>2567</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55"/>
      <c r="Q43" s="1805" t="str">
        <f t="shared" si="11"/>
        <v>内部装修维护情况</v>
      </c>
      <c r="R43" s="770" t="s">
        <v>21</v>
      </c>
      <c r="S43" s="771">
        <f t="shared" si="12"/>
        <v>100</v>
      </c>
      <c r="T43" s="770" t="s">
        <v>21</v>
      </c>
      <c r="U43" s="771">
        <f t="shared" si="13"/>
        <v>100</v>
      </c>
      <c r="V43" s="770" t="s">
        <v>21</v>
      </c>
      <c r="W43" s="771">
        <f t="shared" si="14"/>
        <v>100</v>
      </c>
      <c r="X43" s="1808"/>
      <c r="Y43" s="3257"/>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55"/>
      <c r="Q44" s="1790">
        <f t="shared" si="11"/>
        <v>111</v>
      </c>
      <c r="R44" s="766" t="s">
        <v>21</v>
      </c>
      <c r="S44" s="767">
        <f t="shared" si="12"/>
        <v>100</v>
      </c>
      <c r="T44" s="766" t="s">
        <v>21</v>
      </c>
      <c r="U44" s="767">
        <f t="shared" si="13"/>
        <v>100</v>
      </c>
      <c r="V44" s="766" t="s">
        <v>21</v>
      </c>
      <c r="W44" s="767">
        <f t="shared" si="14"/>
        <v>100</v>
      </c>
      <c r="X44" s="768"/>
      <c r="Y44" s="3257"/>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55"/>
      <c r="Q45" s="1805">
        <f t="shared" si="11"/>
        <v>111</v>
      </c>
      <c r="R45" s="770" t="s">
        <v>21</v>
      </c>
      <c r="S45" s="771">
        <f t="shared" si="12"/>
        <v>100</v>
      </c>
      <c r="T45" s="770" t="s">
        <v>21</v>
      </c>
      <c r="U45" s="771">
        <f t="shared" si="13"/>
        <v>100</v>
      </c>
      <c r="V45" s="770" t="s">
        <v>21</v>
      </c>
      <c r="W45" s="771">
        <f t="shared" si="14"/>
        <v>100</v>
      </c>
      <c r="X45" s="1808"/>
      <c r="Y45" s="3257"/>
      <c r="Z45" s="1809">
        <f t="shared" si="18"/>
        <v>111</v>
      </c>
      <c r="AA45" s="1806">
        <f t="shared" si="15"/>
        <v>1</v>
      </c>
      <c r="AB45" s="1806">
        <f t="shared" si="16"/>
        <v>1</v>
      </c>
      <c r="AC45" s="1806">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56"/>
      <c r="Q46" s="1805">
        <f t="shared" si="11"/>
        <v>111</v>
      </c>
      <c r="R46" s="770" t="s">
        <v>20</v>
      </c>
      <c r="S46" s="771">
        <f t="shared" si="12"/>
        <v>100</v>
      </c>
      <c r="T46" s="770" t="s">
        <v>20</v>
      </c>
      <c r="U46" s="771">
        <f t="shared" si="13"/>
        <v>100</v>
      </c>
      <c r="V46" s="770" t="s">
        <v>20</v>
      </c>
      <c r="W46" s="771">
        <f t="shared" si="14"/>
        <v>100</v>
      </c>
      <c r="X46" s="1808"/>
      <c r="Y46" s="3258"/>
      <c r="Z46" s="1809">
        <f t="shared" si="18"/>
        <v>111</v>
      </c>
      <c r="AA46" s="1806">
        <f t="shared" si="15"/>
        <v>1</v>
      </c>
      <c r="AB46" s="1806">
        <f t="shared" si="16"/>
        <v>1</v>
      </c>
      <c r="AC46" s="1806">
        <f t="shared" si="17"/>
        <v>1</v>
      </c>
    </row>
    <row r="47" spans="1:29" ht="15">
      <c r="A47" s="479" t="s">
        <v>2568</v>
      </c>
      <c r="B47" s="480"/>
      <c r="C47" s="1403" t="s">
        <v>19</v>
      </c>
      <c r="D47" s="1404"/>
      <c r="E47" s="1405"/>
      <c r="F47" s="1406"/>
      <c r="G47" s="1407"/>
      <c r="H47" s="1408"/>
      <c r="I47" s="1405"/>
      <c r="J47" s="1408"/>
      <c r="K47" s="2615"/>
      <c r="L47" s="1139"/>
      <c r="M47" s="1140"/>
      <c r="N47" s="1127"/>
      <c r="O47" s="1140"/>
      <c r="P47" s="3250" t="str">
        <f>A47</f>
        <v>成交单价（元/平方米）</v>
      </c>
      <c r="Q47" s="3250"/>
      <c r="R47" s="3251">
        <f>E47</f>
        <v>0</v>
      </c>
      <c r="S47" s="3251"/>
      <c r="T47" s="3251">
        <f>G47</f>
        <v>0</v>
      </c>
      <c r="U47" s="3251"/>
      <c r="V47" s="3251">
        <f>I47</f>
        <v>0</v>
      </c>
      <c r="W47" s="3251"/>
      <c r="X47" s="755"/>
      <c r="Y47" s="777"/>
      <c r="Z47" s="755"/>
      <c r="AA47" s="755"/>
      <c r="AB47" s="755"/>
      <c r="AC47" s="755"/>
    </row>
    <row r="48" spans="1:29" ht="15.75" thickBot="1">
      <c r="A48" s="486" t="s">
        <v>2569</v>
      </c>
      <c r="B48" s="487"/>
      <c r="C48" s="1409" t="e">
        <f>R49</f>
        <v>#DIV/0!</v>
      </c>
      <c r="D48" s="1410"/>
      <c r="E48" s="1411" t="e">
        <f>R48</f>
        <v>#DIV/0!</v>
      </c>
      <c r="F48" s="1411"/>
      <c r="G48" s="1409" t="e">
        <f>T48</f>
        <v>#DIV/0!</v>
      </c>
      <c r="H48" s="1410"/>
      <c r="I48" s="1411" t="e">
        <f>V48</f>
        <v>#DIV/0!</v>
      </c>
      <c r="J48" s="1410"/>
      <c r="K48" s="2616"/>
      <c r="L48" s="1139"/>
      <c r="M48" s="1140"/>
      <c r="N48" s="1140"/>
      <c r="O48" s="1140"/>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5"/>
      <c r="Y48" s="755"/>
      <c r="Z48" s="755"/>
      <c r="AA48" s="755"/>
      <c r="AB48" s="755"/>
      <c r="AC48" s="755"/>
    </row>
    <row r="49" spans="1:29" ht="15.75" thickBot="1">
      <c r="A49" s="492" t="s">
        <v>2570</v>
      </c>
      <c r="B49" s="493"/>
      <c r="C49" s="1412" t="e">
        <f>R49</f>
        <v>#DIV/0!</v>
      </c>
      <c r="D49" s="1413"/>
      <c r="E49" s="1413"/>
      <c r="F49" s="1413"/>
      <c r="G49" s="1413"/>
      <c r="H49" s="1413"/>
      <c r="I49" s="1413"/>
      <c r="J49" s="1413"/>
      <c r="K49" s="2617"/>
      <c r="L49" s="1139"/>
      <c r="M49" s="1140"/>
      <c r="N49" s="1140"/>
      <c r="O49" s="1140"/>
      <c r="P49" s="3247" t="str">
        <f>A49</f>
        <v>估价对象XX用房的比较价值（楼面单价，元/平方米）</v>
      </c>
      <c r="Q49" s="3248"/>
      <c r="R49" s="3249" t="e">
        <f>IF(F1="售价",ROUND(AVERAGE(R48:V48),0),ROUND(AVERAGE(R48:V48),1))</f>
        <v>#DIV/0!</v>
      </c>
      <c r="S49" s="3249"/>
      <c r="T49" s="3249"/>
      <c r="U49" s="3249"/>
      <c r="V49" s="3249"/>
      <c r="W49" s="324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2574</v>
      </c>
      <c r="B57" s="755"/>
      <c r="C57" s="760"/>
      <c r="D57" s="760"/>
      <c r="E57" s="760"/>
      <c r="F57" s="761"/>
      <c r="G57" s="761"/>
      <c r="H57" s="760"/>
      <c r="I57" s="760"/>
      <c r="J57" s="760"/>
      <c r="K57" s="1156"/>
      <c r="L57" s="1157"/>
      <c r="M57" s="1155"/>
      <c r="N57" s="1155"/>
      <c r="O57" s="1155"/>
      <c r="P57" s="2620"/>
      <c r="Q57" s="504"/>
    </row>
    <row r="58" spans="1:29" s="508" customFormat="1" ht="15">
      <c r="A58" s="505" t="s">
        <v>2575</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2577</v>
      </c>
      <c r="B61" s="510"/>
      <c r="C61" s="522" t="s">
        <v>2578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2579</v>
      </c>
      <c r="B63" s="528" t="s">
        <v>2545</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2091</v>
      </c>
      <c r="C82" s="539" t="s">
        <v>2595</v>
      </c>
      <c r="D82" s="539" t="s">
        <v>2596</v>
      </c>
      <c r="E82" s="539" t="s">
        <v>2597</v>
      </c>
      <c r="F82" s="539" t="s">
        <v>2598</v>
      </c>
      <c r="G82" s="539" t="s">
        <v>2599</v>
      </c>
      <c r="H82" s="539"/>
      <c r="I82" s="539"/>
      <c r="J82" s="539"/>
      <c r="K82" s="539"/>
      <c r="L82" s="539"/>
      <c r="M82" s="1378"/>
      <c r="N82" s="1149"/>
      <c r="O82" s="1149"/>
      <c r="P82" s="2624"/>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2601</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2602</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2554</v>
      </c>
      <c r="B100" s="528" t="s">
        <v>2603</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2605</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2606</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2607</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2608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2609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2610</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2565</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2611</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2613</v>
      </c>
    </row>
    <row r="137" spans="1:17" ht="15">
      <c r="B137" s="2632" t="s">
        <v>2614</v>
      </c>
      <c r="C137" s="2633"/>
      <c r="D137" s="2633"/>
      <c r="E137" s="2633"/>
      <c r="F137" s="2633"/>
      <c r="G137" s="2634"/>
      <c r="H137" s="2635"/>
      <c r="I137" s="2636" t="s">
        <v>2615</v>
      </c>
      <c r="J137" s="2633"/>
      <c r="K137" s="2637"/>
    </row>
    <row r="138" spans="1:17" ht="15">
      <c r="B138" s="2638"/>
      <c r="C138" s="146" t="s">
        <v>2616</v>
      </c>
      <c r="D138" s="146" t="s">
        <v>2617</v>
      </c>
      <c r="E138" s="2639" t="s">
        <v>2618</v>
      </c>
      <c r="F138" s="2640" t="s">
        <v>2619</v>
      </c>
      <c r="G138" s="146" t="s">
        <v>2617</v>
      </c>
      <c r="H138" s="147" t="s">
        <v>2618</v>
      </c>
      <c r="I138" s="2641"/>
      <c r="J138" s="146" t="s">
        <v>2620</v>
      </c>
      <c r="K138" s="147" t="s">
        <v>2621</v>
      </c>
    </row>
    <row r="139" spans="1:17" ht="15">
      <c r="B139" s="1080">
        <v>6</v>
      </c>
      <c r="C139" s="1081">
        <v>96</v>
      </c>
      <c r="D139" s="2642" t="s">
        <v>2622</v>
      </c>
      <c r="E139" s="1082">
        <v>100</v>
      </c>
      <c r="F139" s="1083">
        <v>102.5</v>
      </c>
      <c r="G139" s="2642" t="s">
        <v>2622</v>
      </c>
      <c r="H139" s="1084">
        <v>105</v>
      </c>
      <c r="I139" s="2643" t="s">
        <v>2623</v>
      </c>
      <c r="J139" s="1081">
        <v>20</v>
      </c>
      <c r="K139" s="1085">
        <f>C145/(J139-2)</f>
        <v>4.0555555555555553E-3</v>
      </c>
    </row>
    <row r="140" spans="1:17" ht="15">
      <c r="B140" s="1086">
        <v>5</v>
      </c>
      <c r="C140" s="1087">
        <v>100</v>
      </c>
      <c r="D140" s="1087"/>
      <c r="E140" s="1088"/>
      <c r="F140" s="1089">
        <v>102</v>
      </c>
      <c r="G140" s="1087"/>
      <c r="H140" s="1090"/>
      <c r="I140" s="2644" t="s">
        <v>2624</v>
      </c>
      <c r="J140" s="315">
        <f>ROUNDUP((J139-1)/2,0)</f>
        <v>10</v>
      </c>
      <c r="K140" s="1091">
        <v>100</v>
      </c>
    </row>
    <row r="141" spans="1:17" ht="15">
      <c r="B141" s="1086">
        <v>4</v>
      </c>
      <c r="C141" s="1087">
        <v>102</v>
      </c>
      <c r="D141" s="1087"/>
      <c r="E141" s="1088"/>
      <c r="F141" s="1089">
        <v>101.5</v>
      </c>
      <c r="G141" s="1087"/>
      <c r="H141" s="1090"/>
      <c r="I141" s="2644" t="s">
        <v>2625</v>
      </c>
      <c r="J141" s="315">
        <v>1</v>
      </c>
      <c r="K141" s="1092">
        <f>ROUND(100+(J141-J140)*K139*100,1)</f>
        <v>96.4</v>
      </c>
    </row>
    <row r="142" spans="1:17" ht="15">
      <c r="B142" s="1086">
        <v>3</v>
      </c>
      <c r="C142" s="1087">
        <v>103</v>
      </c>
      <c r="D142" s="1087"/>
      <c r="E142" s="1088"/>
      <c r="F142" s="1089">
        <v>101</v>
      </c>
      <c r="G142" s="1087"/>
      <c r="H142" s="1090"/>
      <c r="I142" s="2644" t="s">
        <v>2626</v>
      </c>
      <c r="J142" s="315">
        <f>J139</f>
        <v>20</v>
      </c>
      <c r="K142" s="1093">
        <v>95</v>
      </c>
    </row>
    <row r="143" spans="1:17" ht="15">
      <c r="B143" s="1086">
        <v>2</v>
      </c>
      <c r="C143" s="1087">
        <v>100</v>
      </c>
      <c r="D143" s="1087"/>
      <c r="E143" s="1088"/>
      <c r="F143" s="1089">
        <v>100.5</v>
      </c>
      <c r="G143" s="1087"/>
      <c r="H143" s="1090"/>
      <c r="I143" s="2644" t="s">
        <v>2627</v>
      </c>
      <c r="J143" s="1087">
        <v>15</v>
      </c>
      <c r="K143" s="1092">
        <f>ROUND(100+(J143-J140)*K139*100,1)</f>
        <v>102</v>
      </c>
    </row>
    <row r="144" spans="1:17" ht="15">
      <c r="B144" s="1086">
        <v>1</v>
      </c>
      <c r="C144" s="1087">
        <v>98</v>
      </c>
      <c r="D144" s="2645" t="s">
        <v>2628</v>
      </c>
      <c r="E144" s="1088">
        <v>102</v>
      </c>
      <c r="F144" s="1094">
        <v>100</v>
      </c>
      <c r="G144" s="2645" t="s">
        <v>2628</v>
      </c>
      <c r="H144" s="1090">
        <v>105</v>
      </c>
      <c r="I144" s="2644" t="s">
        <v>2627</v>
      </c>
      <c r="J144" s="1087">
        <v>18</v>
      </c>
      <c r="K144" s="1092">
        <f>ROUND(100+(J144-J140)*K139*100,1)</f>
        <v>103.2</v>
      </c>
    </row>
    <row r="145" spans="2:11" ht="15.75" thickBot="1">
      <c r="B145" s="2646" t="s">
        <v>2629</v>
      </c>
      <c r="C145" s="1095">
        <f>ROUND(MAX(C139:C144)/MIN(C139:C144)-1,3)</f>
        <v>7.2999999999999995E-2</v>
      </c>
      <c r="D145" s="1096"/>
      <c r="E145" s="1096"/>
      <c r="F145" s="2647" t="s">
        <v>2630</v>
      </c>
      <c r="G145" s="2648"/>
      <c r="H145" s="2649"/>
      <c r="I145" s="2650" t="s">
        <v>2627</v>
      </c>
      <c r="J145" s="1097">
        <v>8</v>
      </c>
      <c r="K145" s="1098">
        <f>ROUND(100+(J145-J140)*K139*100,1)</f>
        <v>99.2</v>
      </c>
    </row>
    <row r="147" spans="2:11">
      <c r="B147" s="2631" t="s">
        <v>2631</v>
      </c>
    </row>
    <row r="148" spans="2:11">
      <c r="B148" s="2631"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4" zoomScale="90" zoomScaleNormal="90" workbookViewId="0">
      <selection activeCell="E92" sqref="E9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576" t="s">
        <v>2633</v>
      </c>
      <c r="C1" s="1630" t="s">
        <v>2521</v>
      </c>
      <c r="D1" s="1617" t="s">
        <v>3160</v>
      </c>
      <c r="E1" s="2651"/>
      <c r="F1" s="2578" t="s">
        <v>3170</v>
      </c>
      <c r="G1" s="1627" t="s">
        <v>2634</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2318</v>
      </c>
      <c r="B2" s="1414">
        <f>IF(C2="——",ROUND(C49*D3/10000,0),ROUND(C49*D3/10000,0)-D2)</f>
        <v>11637</v>
      </c>
      <c r="C2" s="2580" t="s">
        <v>70</v>
      </c>
      <c r="D2" s="1361" t="e">
        <f ca="1">SUMIF(INDIRECT("'"&amp;F2&amp;"'"&amp;"!A:A"),"承租人权益价值",INDIRECT("'"&amp;F2&amp;"'"&amp;"!c:c"))</f>
        <v>#REF!</v>
      </c>
      <c r="E2" s="2581" t="s">
        <v>2319</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2320</v>
      </c>
      <c r="B3" s="609">
        <f>IF(C2="——",C49,ROUND(B2*10000/D3,0))</f>
        <v>37836</v>
      </c>
      <c r="C3" s="400" t="s">
        <v>2635</v>
      </c>
      <c r="D3" s="399">
        <f>IF(D1="",'数据-汇总表'!E3,SUMIF('数据-汇总表'!$C19:$C33,D1,'数据-汇总表'!$E19:$E33))</f>
        <v>3075.7000000000007</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81" t="s">
        <v>2639</v>
      </c>
      <c r="AC4" s="3262" t="s">
        <v>2640</v>
      </c>
    </row>
    <row r="5" spans="1:29" ht="15">
      <c r="A5" s="404"/>
      <c r="B5" s="405"/>
      <c r="C5" s="3293" t="s">
        <v>3220</v>
      </c>
      <c r="D5" s="3285"/>
      <c r="E5" s="3294" t="s">
        <v>3293</v>
      </c>
      <c r="F5" s="3292"/>
      <c r="G5" s="3293" t="s">
        <v>3217</v>
      </c>
      <c r="H5" s="3285"/>
      <c r="I5" s="3293" t="s">
        <v>3218</v>
      </c>
      <c r="J5" s="3285"/>
      <c r="K5" s="610"/>
      <c r="L5" s="1126"/>
      <c r="M5" s="1127"/>
      <c r="N5" s="1127"/>
      <c r="O5" s="1127"/>
      <c r="P5" s="3271"/>
      <c r="Q5" s="3272"/>
      <c r="R5" s="3277"/>
      <c r="S5" s="3278"/>
      <c r="T5" s="3277"/>
      <c r="U5" s="3278"/>
      <c r="V5" s="3281"/>
      <c r="W5" s="3281"/>
      <c r="X5" s="1808"/>
      <c r="Y5" s="3277"/>
      <c r="Z5" s="3278"/>
      <c r="AA5" s="3263"/>
      <c r="AB5" s="3281"/>
      <c r="AC5" s="3263"/>
    </row>
    <row r="6" spans="1:29" ht="15.75" thickBot="1">
      <c r="A6" s="406"/>
      <c r="B6" s="407"/>
      <c r="C6" s="3282" t="s">
        <v>2537</v>
      </c>
      <c r="D6" s="3283"/>
      <c r="E6" s="3289" t="s">
        <v>2537</v>
      </c>
      <c r="F6" s="3290"/>
      <c r="G6" s="3282" t="s">
        <v>2537</v>
      </c>
      <c r="H6" s="3283"/>
      <c r="I6" s="3282" t="s">
        <v>2537</v>
      </c>
      <c r="J6" s="3283"/>
      <c r="K6" s="610" t="s">
        <v>2538</v>
      </c>
      <c r="L6" s="1126"/>
      <c r="M6" s="1127"/>
      <c r="N6" s="1127"/>
      <c r="O6" s="1127"/>
      <c r="P6" s="3273"/>
      <c r="Q6" s="3274"/>
      <c r="R6" s="3277"/>
      <c r="S6" s="3278"/>
      <c r="T6" s="3279"/>
      <c r="U6" s="3280"/>
      <c r="V6" s="3281"/>
      <c r="W6" s="3281"/>
      <c r="X6" s="1808"/>
      <c r="Y6" s="3279"/>
      <c r="Z6" s="3280"/>
      <c r="AA6" s="3264"/>
      <c r="AB6" s="3281"/>
      <c r="AC6" s="3264"/>
    </row>
    <row r="7" spans="1:29" s="117" customFormat="1" ht="15.75" thickBot="1">
      <c r="A7" s="408" t="s">
        <v>2539</v>
      </c>
      <c r="B7" s="409"/>
      <c r="C7" s="410">
        <f>'数据-取费表'!B2</f>
        <v>43619</v>
      </c>
      <c r="D7" s="411">
        <v>100</v>
      </c>
      <c r="E7" s="412">
        <f>C7</f>
        <v>43619</v>
      </c>
      <c r="F7" s="413">
        <f>SUMIF(58:58,YEAR(E7)&amp;"-"&amp;MONTH(E7),59:59)</f>
        <v>100</v>
      </c>
      <c r="G7" s="412">
        <f>E7</f>
        <v>43619</v>
      </c>
      <c r="H7" s="411">
        <f>SUMIF(58:58,YEAR(G7)&amp;"-"&amp;MONTH(G7),59:59)</f>
        <v>100</v>
      </c>
      <c r="I7" s="412">
        <f>E7</f>
        <v>43619</v>
      </c>
      <c r="J7" s="411">
        <f>SUMIF(58:58,YEAR(I7)&amp;"-"&amp;MONTH(I7),59:59)</f>
        <v>100</v>
      </c>
      <c r="K7" s="611"/>
      <c r="L7" s="1128"/>
      <c r="M7" s="1129"/>
      <c r="N7" s="1129"/>
      <c r="O7" s="1129"/>
      <c r="P7" s="3286" t="s">
        <v>2540</v>
      </c>
      <c r="Q7" s="3288"/>
      <c r="R7" s="766" t="s">
        <v>17</v>
      </c>
      <c r="S7" s="767">
        <f t="shared" ref="S7:S15" si="0">F7</f>
        <v>100</v>
      </c>
      <c r="T7" s="766" t="s">
        <v>17</v>
      </c>
      <c r="U7" s="767">
        <f t="shared" ref="U7:U15" si="1">H7</f>
        <v>100</v>
      </c>
      <c r="V7" s="766" t="s">
        <v>17</v>
      </c>
      <c r="W7" s="767">
        <f t="shared" ref="W7:W15" si="2">J7</f>
        <v>100</v>
      </c>
      <c r="X7" s="768"/>
      <c r="Y7" s="3286" t="s">
        <v>2540</v>
      </c>
      <c r="Z7" s="3287"/>
      <c r="AA7" s="769">
        <f>D7/F7</f>
        <v>1</v>
      </c>
      <c r="AB7" s="769">
        <f>D7/H7</f>
        <v>1</v>
      </c>
      <c r="AC7" s="769">
        <f>D7/J7</f>
        <v>1</v>
      </c>
    </row>
    <row r="8" spans="1:29" s="117" customFormat="1" ht="15.75" thickBot="1">
      <c r="A8" s="408" t="s">
        <v>2541</v>
      </c>
      <c r="B8" s="409"/>
      <c r="C8" s="414" t="s">
        <v>2643</v>
      </c>
      <c r="D8" s="411">
        <v>100</v>
      </c>
      <c r="E8" s="414" t="s">
        <v>3169</v>
      </c>
      <c r="F8" s="413">
        <f>SUMIF(61:61,E8,62:62)-SUMIF(61:61,C8,62:62)+100</f>
        <v>100</v>
      </c>
      <c r="G8" s="414" t="s">
        <v>3169</v>
      </c>
      <c r="H8" s="411">
        <f>SUMIF(61:61,G8,62:62)-SUMIF(61:61,C8,62:62)+100</f>
        <v>100</v>
      </c>
      <c r="I8" s="414" t="s">
        <v>3169</v>
      </c>
      <c r="J8" s="411">
        <f>SUMIF(61:61,I8,62:62)-SUMIF(61:61,C8,62:62)+100</f>
        <v>100</v>
      </c>
      <c r="K8" s="611"/>
      <c r="L8" s="1128"/>
      <c r="M8" s="1129"/>
      <c r="N8" s="1129"/>
      <c r="O8" s="1129"/>
      <c r="P8" s="3286" t="s">
        <v>2543</v>
      </c>
      <c r="Q8" s="3287"/>
      <c r="R8" s="766" t="s">
        <v>17</v>
      </c>
      <c r="S8" s="767">
        <f t="shared" si="0"/>
        <v>100</v>
      </c>
      <c r="T8" s="766" t="s">
        <v>17</v>
      </c>
      <c r="U8" s="767">
        <f t="shared" si="1"/>
        <v>100</v>
      </c>
      <c r="V8" s="766" t="s">
        <v>17</v>
      </c>
      <c r="W8" s="767">
        <f t="shared" si="2"/>
        <v>100</v>
      </c>
      <c r="X8" s="768"/>
      <c r="Y8" s="3286" t="s">
        <v>2543</v>
      </c>
      <c r="Z8" s="3287"/>
      <c r="AA8" s="769">
        <f t="shared" ref="AA8:AA46" si="3">D8/F8</f>
        <v>1</v>
      </c>
      <c r="AB8" s="769">
        <f t="shared" ref="AB8:AB46" si="4">D8/H8</f>
        <v>1</v>
      </c>
      <c r="AC8" s="769">
        <f t="shared" ref="AC8:AC46" si="5">D8/J8</f>
        <v>1</v>
      </c>
    </row>
    <row r="9" spans="1:29" s="117" customFormat="1">
      <c r="A9" s="415" t="s">
        <v>2544</v>
      </c>
      <c r="B9" s="71" t="s">
        <v>2545</v>
      </c>
      <c r="C9" s="2970" t="s">
        <v>3171</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261"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769">
        <f t="shared" si="5"/>
        <v>1</v>
      </c>
    </row>
    <row r="10" spans="1:29" s="427" customFormat="1" ht="27">
      <c r="A10" s="421"/>
      <c r="B10" s="422" t="s">
        <v>2548</v>
      </c>
      <c r="C10" s="423" t="s">
        <v>3172</v>
      </c>
      <c r="D10" s="136">
        <v>100</v>
      </c>
      <c r="E10" s="423" t="s">
        <v>3172</v>
      </c>
      <c r="F10" s="425">
        <f>SUMIF(65:65,E10,66:66)-SUMIF(65:65,C10,66:66)+100</f>
        <v>100</v>
      </c>
      <c r="G10" s="423" t="s">
        <v>3172</v>
      </c>
      <c r="H10" s="136">
        <f>SUMIF(65:65,G10,66:66)-SUMIF(65:65,C10,66:66)+100</f>
        <v>100</v>
      </c>
      <c r="I10" s="423" t="s">
        <v>3172</v>
      </c>
      <c r="J10" s="136">
        <f>SUMIF(65:65,I10,66:66)-SUMIF(65:65,C10,66:66)+100</f>
        <v>100</v>
      </c>
      <c r="K10" s="612">
        <v>2</v>
      </c>
      <c r="L10" s="1131"/>
      <c r="M10" s="1132"/>
      <c r="N10" s="1132"/>
      <c r="O10" s="1132"/>
      <c r="P10" s="3261"/>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769">
        <f t="shared" si="5"/>
        <v>1</v>
      </c>
    </row>
    <row r="11" spans="1:29" ht="15.75" thickBot="1">
      <c r="A11" s="428"/>
      <c r="B11" s="422" t="s">
        <v>2549</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61"/>
      <c r="Q11" s="1790" t="str">
        <f t="shared" si="6"/>
        <v>容积率</v>
      </c>
      <c r="R11" s="766" t="s">
        <v>17</v>
      </c>
      <c r="S11" s="767">
        <f t="shared" si="0"/>
        <v>100</v>
      </c>
      <c r="T11" s="766" t="s">
        <v>17</v>
      </c>
      <c r="U11" s="767">
        <f t="shared" si="1"/>
        <v>100</v>
      </c>
      <c r="V11" s="766" t="s">
        <v>17</v>
      </c>
      <c r="W11" s="767">
        <f t="shared" si="2"/>
        <v>100</v>
      </c>
      <c r="X11" s="768"/>
      <c r="Y11" s="3081"/>
      <c r="Z11" s="55" t="str">
        <f t="shared" si="7"/>
        <v>容积率</v>
      </c>
      <c r="AA11" s="769">
        <f t="shared" si="3"/>
        <v>1</v>
      </c>
      <c r="AB11" s="769">
        <f t="shared" si="4"/>
        <v>1</v>
      </c>
      <c r="AC11" s="769">
        <f t="shared" si="5"/>
        <v>1</v>
      </c>
    </row>
    <row r="12" spans="1:29" s="117" customFormat="1" ht="15" hidden="1">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61"/>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769">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1"/>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769">
        <f t="shared" si="5"/>
        <v>1</v>
      </c>
    </row>
    <row r="14" spans="1:29" ht="15.75" hidden="1"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1"/>
      <c r="Q14" s="1790">
        <f t="shared" si="6"/>
        <v>111</v>
      </c>
      <c r="R14" s="766" t="s">
        <v>17</v>
      </c>
      <c r="S14" s="767">
        <f t="shared" si="0"/>
        <v>100</v>
      </c>
      <c r="T14" s="766" t="s">
        <v>17</v>
      </c>
      <c r="U14" s="767">
        <f t="shared" si="1"/>
        <v>100</v>
      </c>
      <c r="V14" s="766" t="s">
        <v>17</v>
      </c>
      <c r="W14" s="767">
        <f t="shared" si="2"/>
        <v>100</v>
      </c>
      <c r="X14" s="768"/>
      <c r="Y14" s="3081"/>
      <c r="Z14" s="55">
        <f t="shared" si="7"/>
        <v>111</v>
      </c>
      <c r="AA14" s="769">
        <f t="shared" si="3"/>
        <v>1</v>
      </c>
      <c r="AB14" s="769">
        <f t="shared" si="4"/>
        <v>1</v>
      </c>
      <c r="AC14" s="769">
        <f t="shared" si="5"/>
        <v>1</v>
      </c>
    </row>
    <row r="15" spans="1:29" ht="71.25">
      <c r="A15" s="440" t="s">
        <v>2550</v>
      </c>
      <c r="B15" s="69" t="s">
        <v>2644</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59" t="s">
        <v>2551</v>
      </c>
      <c r="Q15" s="1805" t="str">
        <f t="shared" si="6"/>
        <v>商业繁华度</v>
      </c>
      <c r="R15" s="770" t="s">
        <v>17</v>
      </c>
      <c r="S15" s="771">
        <f t="shared" si="0"/>
        <v>100</v>
      </c>
      <c r="T15" s="770" t="s">
        <v>17</v>
      </c>
      <c r="U15" s="771">
        <f t="shared" si="1"/>
        <v>100</v>
      </c>
      <c r="V15" s="770" t="s">
        <v>17</v>
      </c>
      <c r="W15" s="771">
        <f t="shared" si="2"/>
        <v>100</v>
      </c>
      <c r="X15" s="1808"/>
      <c r="Y15" s="3252" t="s">
        <v>2551</v>
      </c>
      <c r="Z15" s="1809" t="str">
        <f t="shared" si="7"/>
        <v>商业繁华度</v>
      </c>
      <c r="AA15" s="1806">
        <f t="shared" si="3"/>
        <v>1</v>
      </c>
      <c r="AB15" s="1806">
        <f t="shared" si="4"/>
        <v>1</v>
      </c>
      <c r="AC15" s="1806">
        <f t="shared" si="5"/>
        <v>1</v>
      </c>
    </row>
    <row r="16" spans="1:29" ht="15">
      <c r="A16" s="428"/>
      <c r="B16" s="446"/>
      <c r="C16" s="447" t="s">
        <v>3173</v>
      </c>
      <c r="D16" s="448"/>
      <c r="E16" s="447" t="s">
        <v>3173</v>
      </c>
      <c r="F16" s="449"/>
      <c r="G16" s="447" t="s">
        <v>3173</v>
      </c>
      <c r="H16" s="450"/>
      <c r="I16" s="447" t="s">
        <v>3173</v>
      </c>
      <c r="J16" s="448"/>
      <c r="K16" s="615"/>
      <c r="L16" s="1136"/>
      <c r="M16" s="1127"/>
      <c r="N16" s="1127"/>
      <c r="O16" s="1127"/>
      <c r="P16" s="3260"/>
      <c r="Q16" s="1805"/>
      <c r="R16" s="770"/>
      <c r="S16" s="771"/>
      <c r="T16" s="770"/>
      <c r="U16" s="771"/>
      <c r="V16" s="770"/>
      <c r="W16" s="771"/>
      <c r="X16" s="1808"/>
      <c r="Y16" s="3253"/>
      <c r="Z16" s="1809"/>
      <c r="AA16" s="1806">
        <v>1</v>
      </c>
      <c r="AB16" s="1806">
        <v>1</v>
      </c>
      <c r="AC16" s="1806">
        <v>1</v>
      </c>
    </row>
    <row r="17" spans="1:29" ht="85.5">
      <c r="A17" s="428"/>
      <c r="B17" s="451" t="s">
        <v>2090</v>
      </c>
      <c r="C17" s="2601"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60"/>
      <c r="Q17" s="1805" t="str">
        <f>B17</f>
        <v>交通便捷度</v>
      </c>
      <c r="R17" s="770" t="s">
        <v>17</v>
      </c>
      <c r="S17" s="771">
        <f>F17</f>
        <v>102</v>
      </c>
      <c r="T17" s="770" t="s">
        <v>17</v>
      </c>
      <c r="U17" s="771">
        <f>H17</f>
        <v>102</v>
      </c>
      <c r="V17" s="770" t="s">
        <v>17</v>
      </c>
      <c r="W17" s="771">
        <f>J17</f>
        <v>102</v>
      </c>
      <c r="X17" s="1808"/>
      <c r="Y17" s="3253"/>
      <c r="Z17" s="1809" t="str">
        <f>Q17</f>
        <v>交通便捷度</v>
      </c>
      <c r="AA17" s="1806">
        <f t="shared" si="3"/>
        <v>0.98039215686274506</v>
      </c>
      <c r="AB17" s="1806">
        <f t="shared" si="4"/>
        <v>0.98039215686274506</v>
      </c>
      <c r="AC17" s="1806">
        <f t="shared" si="5"/>
        <v>0.98039215686274506</v>
      </c>
    </row>
    <row r="18" spans="1:29" ht="15">
      <c r="A18" s="428"/>
      <c r="B18" s="456"/>
      <c r="C18" s="2602" t="s">
        <v>3174</v>
      </c>
      <c r="D18" s="450"/>
      <c r="E18" s="2604" t="s">
        <v>3173</v>
      </c>
      <c r="F18" s="453"/>
      <c r="G18" s="2604" t="s">
        <v>3173</v>
      </c>
      <c r="H18" s="448"/>
      <c r="I18" s="2604" t="s">
        <v>3173</v>
      </c>
      <c r="J18" s="448"/>
      <c r="K18" s="615"/>
      <c r="L18" s="1136"/>
      <c r="M18" s="1127"/>
      <c r="N18" s="1127"/>
      <c r="O18" s="1127"/>
      <c r="P18" s="3260"/>
      <c r="Q18" s="1805"/>
      <c r="R18" s="770"/>
      <c r="S18" s="771"/>
      <c r="T18" s="770"/>
      <c r="U18" s="771"/>
      <c r="V18" s="770"/>
      <c r="W18" s="771"/>
      <c r="X18" s="1808"/>
      <c r="Y18" s="3253"/>
      <c r="Z18" s="1809"/>
      <c r="AA18" s="1806">
        <v>1</v>
      </c>
      <c r="AB18" s="1806">
        <v>1</v>
      </c>
      <c r="AC18" s="1806">
        <v>1</v>
      </c>
    </row>
    <row r="19" spans="1:29" ht="42.75">
      <c r="A19" s="428"/>
      <c r="B19" s="451" t="s">
        <v>2645</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60"/>
      <c r="Q19" s="1805" t="str">
        <f>B19</f>
        <v>公共配套设施</v>
      </c>
      <c r="R19" s="770" t="s">
        <v>17</v>
      </c>
      <c r="S19" s="771">
        <f>F19</f>
        <v>100</v>
      </c>
      <c r="T19" s="770" t="s">
        <v>17</v>
      </c>
      <c r="U19" s="771">
        <f>H19</f>
        <v>100</v>
      </c>
      <c r="V19" s="770" t="s">
        <v>17</v>
      </c>
      <c r="W19" s="771">
        <f>J19</f>
        <v>100</v>
      </c>
      <c r="X19" s="1808"/>
      <c r="Y19" s="3253"/>
      <c r="Z19" s="1809" t="str">
        <f>Q19</f>
        <v>公共配套设施</v>
      </c>
      <c r="AA19" s="1806">
        <f t="shared" si="3"/>
        <v>1</v>
      </c>
      <c r="AB19" s="1806">
        <f t="shared" si="4"/>
        <v>1</v>
      </c>
      <c r="AC19" s="1806">
        <f t="shared" si="5"/>
        <v>1</v>
      </c>
    </row>
    <row r="20" spans="1:29" ht="15">
      <c r="A20" s="428"/>
      <c r="B20" s="456"/>
      <c r="C20" s="447" t="s">
        <v>3173</v>
      </c>
      <c r="D20" s="448"/>
      <c r="E20" s="447" t="s">
        <v>3173</v>
      </c>
      <c r="F20" s="449"/>
      <c r="G20" s="447" t="s">
        <v>3173</v>
      </c>
      <c r="H20" s="448"/>
      <c r="I20" s="447" t="s">
        <v>3173</v>
      </c>
      <c r="J20" s="448"/>
      <c r="K20" s="615"/>
      <c r="L20" s="1136"/>
      <c r="M20" s="1127"/>
      <c r="N20" s="1127"/>
      <c r="O20" s="1127"/>
      <c r="P20" s="3260"/>
      <c r="Q20" s="1805"/>
      <c r="R20" s="770"/>
      <c r="S20" s="771"/>
      <c r="T20" s="770"/>
      <c r="U20" s="771"/>
      <c r="V20" s="770"/>
      <c r="W20" s="771"/>
      <c r="X20" s="1808"/>
      <c r="Y20" s="3253"/>
      <c r="Z20" s="1809"/>
      <c r="AA20" s="1806">
        <v>1</v>
      </c>
      <c r="AB20" s="1806">
        <v>1</v>
      </c>
      <c r="AC20" s="1806">
        <v>1</v>
      </c>
    </row>
    <row r="21" spans="1:29" ht="28.5">
      <c r="A21" s="428"/>
      <c r="B21" s="1380" t="s">
        <v>2646</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60"/>
      <c r="Q21" s="1805" t="str">
        <f>B21</f>
        <v>基础设施水平</v>
      </c>
      <c r="R21" s="770" t="s">
        <v>17</v>
      </c>
      <c r="S21" s="771">
        <f>F21</f>
        <v>100</v>
      </c>
      <c r="T21" s="770" t="s">
        <v>17</v>
      </c>
      <c r="U21" s="771">
        <f>H21</f>
        <v>100</v>
      </c>
      <c r="V21" s="770" t="s">
        <v>17</v>
      </c>
      <c r="W21" s="771">
        <f>J21</f>
        <v>100</v>
      </c>
      <c r="X21" s="1808"/>
      <c r="Y21" s="3253"/>
      <c r="Z21" s="1809" t="str">
        <f>Q21</f>
        <v>基础设施水平</v>
      </c>
      <c r="AA21" s="1806">
        <f t="shared" ref="AA21" si="8">D21/F21</f>
        <v>1</v>
      </c>
      <c r="AB21" s="1806">
        <f t="shared" ref="AB21" si="9">D21/H21</f>
        <v>1</v>
      </c>
      <c r="AC21" s="1806">
        <f t="shared" ref="AC21" si="10">D21/J21</f>
        <v>1</v>
      </c>
    </row>
    <row r="22" spans="1:29" ht="15">
      <c r="A22" s="428"/>
      <c r="B22" s="1380"/>
      <c r="C22" s="2602" t="s">
        <v>3175</v>
      </c>
      <c r="D22" s="448"/>
      <c r="E22" s="2602" t="s">
        <v>3175</v>
      </c>
      <c r="F22" s="449"/>
      <c r="G22" s="2602" t="s">
        <v>3175</v>
      </c>
      <c r="H22" s="448"/>
      <c r="I22" s="2602" t="s">
        <v>3175</v>
      </c>
      <c r="J22" s="448"/>
      <c r="K22" s="1379"/>
      <c r="L22" s="1136"/>
      <c r="M22" s="1127"/>
      <c r="N22" s="1127"/>
      <c r="O22" s="1127"/>
      <c r="P22" s="3260"/>
      <c r="Q22" s="1805"/>
      <c r="R22" s="770"/>
      <c r="S22" s="771"/>
      <c r="T22" s="770"/>
      <c r="U22" s="771"/>
      <c r="V22" s="770"/>
      <c r="W22" s="771"/>
      <c r="X22" s="1808"/>
      <c r="Y22" s="3253"/>
      <c r="Z22" s="1809"/>
      <c r="AA22" s="1806">
        <v>1</v>
      </c>
      <c r="AB22" s="1806">
        <v>1</v>
      </c>
      <c r="AC22" s="1806">
        <v>1</v>
      </c>
    </row>
    <row r="23" spans="1:29" ht="57">
      <c r="A23" s="428"/>
      <c r="B23" s="451" t="s">
        <v>2095</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60"/>
      <c r="Q23" s="1805" t="str">
        <f>B23</f>
        <v>自然及人文环境</v>
      </c>
      <c r="R23" s="770" t="s">
        <v>17</v>
      </c>
      <c r="S23" s="771">
        <f>F23</f>
        <v>100</v>
      </c>
      <c r="T23" s="770" t="s">
        <v>17</v>
      </c>
      <c r="U23" s="771">
        <f>H23</f>
        <v>100</v>
      </c>
      <c r="V23" s="770" t="s">
        <v>17</v>
      </c>
      <c r="W23" s="771">
        <f>J23</f>
        <v>100</v>
      </c>
      <c r="X23" s="1808"/>
      <c r="Y23" s="3253"/>
      <c r="Z23" s="1809" t="str">
        <f>Q23</f>
        <v>自然及人文环境</v>
      </c>
      <c r="AA23" s="1806">
        <f t="shared" si="3"/>
        <v>1</v>
      </c>
      <c r="AB23" s="1806">
        <f t="shared" si="4"/>
        <v>1</v>
      </c>
      <c r="AC23" s="1806">
        <f t="shared" si="5"/>
        <v>1</v>
      </c>
    </row>
    <row r="24" spans="1:29" ht="15">
      <c r="A24" s="428"/>
      <c r="B24" s="456"/>
      <c r="C24" s="447" t="s">
        <v>3173</v>
      </c>
      <c r="D24" s="448"/>
      <c r="E24" s="447" t="s">
        <v>3173</v>
      </c>
      <c r="F24" s="449"/>
      <c r="G24" s="447" t="s">
        <v>3173</v>
      </c>
      <c r="H24" s="448"/>
      <c r="I24" s="447" t="s">
        <v>3173</v>
      </c>
      <c r="J24" s="448"/>
      <c r="K24" s="615"/>
      <c r="L24" s="1136"/>
      <c r="M24" s="1127"/>
      <c r="N24" s="1127"/>
      <c r="O24" s="1127"/>
      <c r="P24" s="3260"/>
      <c r="Q24" s="1805"/>
      <c r="R24" s="770"/>
      <c r="S24" s="771"/>
      <c r="T24" s="770"/>
      <c r="U24" s="771"/>
      <c r="V24" s="770"/>
      <c r="W24" s="771"/>
      <c r="X24" s="1808"/>
      <c r="Y24" s="3253"/>
      <c r="Z24" s="1809"/>
      <c r="AA24" s="1806">
        <v>1</v>
      </c>
      <c r="AB24" s="1806">
        <v>1</v>
      </c>
      <c r="AC24" s="1806">
        <v>1</v>
      </c>
    </row>
    <row r="25" spans="1:29" ht="15">
      <c r="A25" s="428"/>
      <c r="B25" s="3015" t="s">
        <v>2647</v>
      </c>
      <c r="C25" s="616" t="s">
        <v>3290</v>
      </c>
      <c r="D25" s="435">
        <v>100</v>
      </c>
      <c r="E25" s="616" t="s">
        <v>3290</v>
      </c>
      <c r="F25" s="461">
        <f>SUMIF(86:86,E25,87:87)-SUMIF(86:86,C25,87:87)+100</f>
        <v>100</v>
      </c>
      <c r="G25" s="616" t="s">
        <v>3290</v>
      </c>
      <c r="H25" s="435">
        <f>SUMIF(86:86,G25,87:87)-SUMIF(86:86,C25,87:87)+100</f>
        <v>100</v>
      </c>
      <c r="I25" s="616" t="s">
        <v>3290</v>
      </c>
      <c r="J25" s="435">
        <f>SUMIF(86:86,I25,87:87)-SUMIF(86:86,C25,87:87)+100</f>
        <v>100</v>
      </c>
      <c r="K25" s="612">
        <v>2</v>
      </c>
      <c r="L25" s="1136"/>
      <c r="M25" s="1127"/>
      <c r="N25" s="1127"/>
      <c r="O25" s="1127"/>
      <c r="P25" s="3260"/>
      <c r="Q25" s="1805" t="str">
        <f t="shared" ref="Q25:Q46" si="11">B25</f>
        <v>临街状况</v>
      </c>
      <c r="R25" s="770" t="s">
        <v>17</v>
      </c>
      <c r="S25" s="771">
        <f>F25</f>
        <v>100</v>
      </c>
      <c r="T25" s="770" t="s">
        <v>17</v>
      </c>
      <c r="U25" s="771">
        <f>H25</f>
        <v>100</v>
      </c>
      <c r="V25" s="770" t="s">
        <v>17</v>
      </c>
      <c r="W25" s="771">
        <f>J25</f>
        <v>100</v>
      </c>
      <c r="X25" s="1808"/>
      <c r="Y25" s="3253"/>
      <c r="Z25" s="1809" t="str">
        <f>Q25</f>
        <v>临街状况</v>
      </c>
      <c r="AA25" s="1806">
        <f t="shared" si="3"/>
        <v>1</v>
      </c>
      <c r="AB25" s="1806">
        <f t="shared" si="4"/>
        <v>1</v>
      </c>
      <c r="AC25" s="1806">
        <f t="shared" si="5"/>
        <v>1</v>
      </c>
    </row>
    <row r="26" spans="1:29" ht="15" hidden="1">
      <c r="A26" s="428"/>
      <c r="B26" s="1382" t="s">
        <v>2648</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60"/>
      <c r="Q26" s="1805" t="str">
        <f t="shared" si="11"/>
        <v>平面位置/可视性</v>
      </c>
      <c r="R26" s="770" t="s">
        <v>17</v>
      </c>
      <c r="S26" s="771">
        <f>F26</f>
        <v>100</v>
      </c>
      <c r="T26" s="770" t="s">
        <v>17</v>
      </c>
      <c r="U26" s="771">
        <f>H26</f>
        <v>100</v>
      </c>
      <c r="V26" s="770" t="s">
        <v>17</v>
      </c>
      <c r="W26" s="771">
        <f>J26</f>
        <v>100</v>
      </c>
      <c r="X26" s="1808"/>
      <c r="Y26" s="3253"/>
      <c r="Z26" s="1809" t="str">
        <f>Q26</f>
        <v>平面位置/可视性</v>
      </c>
      <c r="AA26" s="1806">
        <f t="shared" si="3"/>
        <v>1</v>
      </c>
      <c r="AB26" s="1806">
        <f t="shared" si="4"/>
        <v>1</v>
      </c>
      <c r="AC26" s="1806">
        <f t="shared" si="5"/>
        <v>1</v>
      </c>
    </row>
    <row r="27" spans="1:29" s="117" customFormat="1" ht="15">
      <c r="A27" s="431"/>
      <c r="B27" s="451" t="s">
        <v>2649</v>
      </c>
      <c r="C27" s="2659" t="s">
        <v>3196</v>
      </c>
      <c r="D27" s="462">
        <v>100</v>
      </c>
      <c r="E27" s="2659" t="s">
        <v>3196</v>
      </c>
      <c r="F27" s="464">
        <f>SUMIF(90:90,E27,91:91)-SUMIF(90:90,C27,91:91)+100</f>
        <v>100</v>
      </c>
      <c r="G27" s="2659" t="s">
        <v>3196</v>
      </c>
      <c r="H27" s="462">
        <f>SUMIF(90:90,G27,91:91)-SUMIF(90:90,C27,91:91)+100</f>
        <v>100</v>
      </c>
      <c r="I27" s="2659" t="s">
        <v>3196</v>
      </c>
      <c r="J27" s="462">
        <f>SUMIF(90:90,I27,91:91)-SUMIF(90:90,C27,91:91)+100</f>
        <v>100</v>
      </c>
      <c r="K27" s="612">
        <v>3</v>
      </c>
      <c r="L27" s="1128"/>
      <c r="M27" s="1129"/>
      <c r="N27" s="1129"/>
      <c r="O27" s="1129"/>
      <c r="P27" s="3260"/>
      <c r="Q27" s="1790" t="str">
        <f t="shared" si="11"/>
        <v>人流量</v>
      </c>
      <c r="R27" s="766" t="s">
        <v>17</v>
      </c>
      <c r="S27" s="767">
        <f>F27</f>
        <v>100</v>
      </c>
      <c r="T27" s="766" t="s">
        <v>17</v>
      </c>
      <c r="U27" s="767">
        <f>H27</f>
        <v>100</v>
      </c>
      <c r="V27" s="766" t="s">
        <v>17</v>
      </c>
      <c r="W27" s="767">
        <f>J27</f>
        <v>100</v>
      </c>
      <c r="X27" s="768"/>
      <c r="Y27" s="3253"/>
      <c r="Z27" s="55" t="str">
        <f>Q27</f>
        <v>人流量</v>
      </c>
      <c r="AA27" s="1806">
        <f>D27/F27</f>
        <v>1</v>
      </c>
      <c r="AB27" s="1806">
        <f>D27/H27</f>
        <v>1</v>
      </c>
      <c r="AC27" s="1806">
        <f>D27/J27</f>
        <v>1</v>
      </c>
    </row>
    <row r="28" spans="1:29" ht="15.75" thickBot="1">
      <c r="A28" s="428"/>
      <c r="B28" s="3015" t="s">
        <v>2650</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60"/>
      <c r="Q28" s="1805" t="str">
        <f t="shared" si="11"/>
        <v>楼层</v>
      </c>
      <c r="R28" s="770" t="s">
        <v>17</v>
      </c>
      <c r="S28" s="771">
        <f t="shared" ref="S28:S46" si="12">F28</f>
        <v>130</v>
      </c>
      <c r="T28" s="770" t="s">
        <v>17</v>
      </c>
      <c r="U28" s="771">
        <f t="shared" ref="U28:U46" si="13">H28</f>
        <v>130</v>
      </c>
      <c r="V28" s="770" t="s">
        <v>17</v>
      </c>
      <c r="W28" s="771">
        <f t="shared" ref="W28:W46" si="14">J28</f>
        <v>130</v>
      </c>
      <c r="X28" s="1808"/>
      <c r="Y28" s="3253"/>
      <c r="Z28" s="1809" t="str">
        <f t="shared" ref="Z28:Z46" si="15">Q28</f>
        <v>楼层</v>
      </c>
      <c r="AA28" s="1806">
        <f t="shared" si="3"/>
        <v>0.76923076923076927</v>
      </c>
      <c r="AB28" s="1806">
        <f t="shared" si="4"/>
        <v>0.76923076923076927</v>
      </c>
      <c r="AC28" s="1806">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60"/>
      <c r="Q29" s="1805">
        <f t="shared" si="11"/>
        <v>111</v>
      </c>
      <c r="R29" s="770" t="s">
        <v>17</v>
      </c>
      <c r="S29" s="771">
        <f t="shared" si="12"/>
        <v>100</v>
      </c>
      <c r="T29" s="770" t="s">
        <v>17</v>
      </c>
      <c r="U29" s="771">
        <f t="shared" si="13"/>
        <v>100</v>
      </c>
      <c r="V29" s="770" t="s">
        <v>17</v>
      </c>
      <c r="W29" s="771">
        <f t="shared" si="14"/>
        <v>100</v>
      </c>
      <c r="X29" s="1808"/>
      <c r="Y29" s="3253"/>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60"/>
      <c r="Q30" s="1805">
        <f t="shared" si="11"/>
        <v>111</v>
      </c>
      <c r="R30" s="770" t="s">
        <v>17</v>
      </c>
      <c r="S30" s="771">
        <f t="shared" si="12"/>
        <v>100</v>
      </c>
      <c r="T30" s="770" t="s">
        <v>17</v>
      </c>
      <c r="U30" s="771">
        <f t="shared" si="13"/>
        <v>100</v>
      </c>
      <c r="V30" s="770" t="s">
        <v>17</v>
      </c>
      <c r="W30" s="771">
        <f t="shared" si="14"/>
        <v>100</v>
      </c>
      <c r="X30" s="1808"/>
      <c r="Y30" s="3253"/>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60"/>
      <c r="Q31" s="1805">
        <f t="shared" si="11"/>
        <v>111</v>
      </c>
      <c r="R31" s="770" t="s">
        <v>17</v>
      </c>
      <c r="S31" s="771">
        <f t="shared" si="12"/>
        <v>100</v>
      </c>
      <c r="T31" s="770" t="s">
        <v>17</v>
      </c>
      <c r="U31" s="771">
        <f t="shared" si="13"/>
        <v>100</v>
      </c>
      <c r="V31" s="770" t="s">
        <v>17</v>
      </c>
      <c r="W31" s="771">
        <f t="shared" si="14"/>
        <v>100</v>
      </c>
      <c r="X31" s="1808"/>
      <c r="Y31" s="3253"/>
      <c r="Z31" s="1809">
        <f t="shared" si="15"/>
        <v>111</v>
      </c>
      <c r="AA31" s="1806">
        <f t="shared" si="3"/>
        <v>1</v>
      </c>
      <c r="AB31" s="1806">
        <f t="shared" si="4"/>
        <v>1</v>
      </c>
      <c r="AC31" s="1806">
        <f t="shared" si="5"/>
        <v>1</v>
      </c>
    </row>
    <row r="32" spans="1:29" ht="15">
      <c r="A32" s="440" t="s">
        <v>2554</v>
      </c>
      <c r="B32" s="3017" t="s">
        <v>2651</v>
      </c>
      <c r="C32" s="3027" t="s">
        <v>3219</v>
      </c>
      <c r="D32" s="467">
        <v>100</v>
      </c>
      <c r="E32" s="2611" t="s">
        <v>3219</v>
      </c>
      <c r="F32" s="461">
        <f>SUMIF(100:100,E32,101:101)-SUMIF(100:100,C32,101:101)+100</f>
        <v>100</v>
      </c>
      <c r="G32" s="3031" t="s">
        <v>3219</v>
      </c>
      <c r="H32" s="435">
        <f>SUMIF(100:100,G32,101:101)-SUMIF(100:100,C32,101:101)+100</f>
        <v>100</v>
      </c>
      <c r="I32" s="2611" t="s">
        <v>3219</v>
      </c>
      <c r="J32" s="467">
        <f>SUMIF(100:100,I32,101:101)-SUMIF(100:100,C32,101:101)+100</f>
        <v>100</v>
      </c>
      <c r="K32" s="612">
        <v>2</v>
      </c>
      <c r="L32" s="1136"/>
      <c r="M32" s="1127"/>
      <c r="N32" s="1127"/>
      <c r="O32" s="1127"/>
      <c r="P32" s="3254" t="s">
        <v>2556</v>
      </c>
      <c r="Q32" s="1805" t="str">
        <f t="shared" si="11"/>
        <v>商业类型</v>
      </c>
      <c r="R32" s="770" t="s">
        <v>17</v>
      </c>
      <c r="S32" s="771">
        <f t="shared" si="12"/>
        <v>100</v>
      </c>
      <c r="T32" s="770" t="s">
        <v>17</v>
      </c>
      <c r="U32" s="771">
        <f t="shared" si="13"/>
        <v>100</v>
      </c>
      <c r="V32" s="770" t="s">
        <v>17</v>
      </c>
      <c r="W32" s="771">
        <f t="shared" si="14"/>
        <v>100</v>
      </c>
      <c r="X32" s="1808"/>
      <c r="Y32" s="3257" t="s">
        <v>2556</v>
      </c>
      <c r="Z32" s="1809" t="str">
        <f t="shared" si="15"/>
        <v>商业类型</v>
      </c>
      <c r="AA32" s="1806">
        <f t="shared" si="3"/>
        <v>1</v>
      </c>
      <c r="AB32" s="1806">
        <f t="shared" si="4"/>
        <v>1</v>
      </c>
      <c r="AC32" s="1806">
        <f t="shared" si="5"/>
        <v>1</v>
      </c>
    </row>
    <row r="33" spans="1:29" s="471" customFormat="1" ht="15">
      <c r="A33" s="468"/>
      <c r="B33" s="3033" t="s">
        <v>2557</v>
      </c>
      <c r="C33" s="469">
        <v>31.28</v>
      </c>
      <c r="D33" s="136">
        <v>100</v>
      </c>
      <c r="E33" s="430">
        <v>76</v>
      </c>
      <c r="F33" s="425">
        <f>LOOKUP(E33,103:103,104:104)-LOOKUP(C33,103:103,104:104)+100</f>
        <v>98</v>
      </c>
      <c r="G33" s="429">
        <v>70</v>
      </c>
      <c r="H33" s="136">
        <f>LOOKUP(G33,103:103,104:104)-LOOKUP(C33,103:103,104:104)+100</f>
        <v>98</v>
      </c>
      <c r="I33" s="429">
        <v>146</v>
      </c>
      <c r="J33" s="136">
        <f>LOOKUP(I33,103:103,104:104)-LOOKUP(C33,103:103,104:104)+100</f>
        <v>98</v>
      </c>
      <c r="K33" s="613"/>
      <c r="L33" s="1134"/>
      <c r="M33" s="1137"/>
      <c r="N33" s="1137"/>
      <c r="O33" s="1137"/>
      <c r="P33" s="3255"/>
      <c r="Q33" s="772" t="str">
        <f t="shared" si="11"/>
        <v>项目建筑规模</v>
      </c>
      <c r="R33" s="773" t="s">
        <v>17</v>
      </c>
      <c r="S33" s="774">
        <f t="shared" si="12"/>
        <v>98</v>
      </c>
      <c r="T33" s="773" t="s">
        <v>17</v>
      </c>
      <c r="U33" s="774">
        <f t="shared" si="13"/>
        <v>98</v>
      </c>
      <c r="V33" s="773" t="s">
        <v>17</v>
      </c>
      <c r="W33" s="774">
        <f t="shared" si="14"/>
        <v>98</v>
      </c>
      <c r="X33" s="775"/>
      <c r="Y33" s="3257"/>
      <c r="Z33" s="776" t="str">
        <f t="shared" si="15"/>
        <v>项目建筑规模</v>
      </c>
      <c r="AA33" s="1806">
        <f t="shared" si="3"/>
        <v>1.0204081632653061</v>
      </c>
      <c r="AB33" s="1806">
        <f t="shared" si="4"/>
        <v>1.0204081632653061</v>
      </c>
      <c r="AC33" s="1806">
        <f t="shared" si="5"/>
        <v>1.0204081632653061</v>
      </c>
    </row>
    <row r="34" spans="1:29" ht="15">
      <c r="A34" s="472"/>
      <c r="B34" s="422" t="s">
        <v>2558</v>
      </c>
      <c r="C34" s="2613" t="s">
        <v>3163</v>
      </c>
      <c r="D34" s="435">
        <v>100</v>
      </c>
      <c r="E34" s="2613" t="s">
        <v>3163</v>
      </c>
      <c r="F34" s="461">
        <f>SUMIF(105:105,E34,106:106)-SUMIF(105:105,C34,106:106)+100</f>
        <v>100</v>
      </c>
      <c r="G34" s="2613" t="s">
        <v>3163</v>
      </c>
      <c r="H34" s="435">
        <f>SUMIF(105:105,G34,106:106)-SUMIF(105:105,C34,106:106)+100</f>
        <v>100</v>
      </c>
      <c r="I34" s="2613" t="s">
        <v>3163</v>
      </c>
      <c r="J34" s="435">
        <f>SUMIF(105:105,I34,106:106)-SUMIF(105:105,C34,106:106)+100</f>
        <v>100</v>
      </c>
      <c r="K34" s="612">
        <v>1</v>
      </c>
      <c r="L34" s="1136"/>
      <c r="M34" s="1127"/>
      <c r="N34" s="1127"/>
      <c r="O34" s="1127"/>
      <c r="P34" s="3255"/>
      <c r="Q34" s="1805" t="str">
        <f t="shared" si="11"/>
        <v>建筑结构</v>
      </c>
      <c r="R34" s="770" t="s">
        <v>17</v>
      </c>
      <c r="S34" s="771">
        <f t="shared" si="12"/>
        <v>100</v>
      </c>
      <c r="T34" s="770" t="s">
        <v>17</v>
      </c>
      <c r="U34" s="771">
        <f t="shared" si="13"/>
        <v>100</v>
      </c>
      <c r="V34" s="770" t="s">
        <v>17</v>
      </c>
      <c r="W34" s="771">
        <f t="shared" si="14"/>
        <v>100</v>
      </c>
      <c r="X34" s="1808"/>
      <c r="Y34" s="3257"/>
      <c r="Z34" s="1809" t="str">
        <f t="shared" si="15"/>
        <v>建筑结构</v>
      </c>
      <c r="AA34" s="1806">
        <f t="shared" si="3"/>
        <v>1</v>
      </c>
      <c r="AB34" s="1806">
        <f t="shared" si="4"/>
        <v>1</v>
      </c>
      <c r="AC34" s="1806">
        <f t="shared" si="5"/>
        <v>1</v>
      </c>
    </row>
    <row r="35" spans="1:29" ht="15">
      <c r="A35" s="472"/>
      <c r="B35" s="422" t="s">
        <v>2652</v>
      </c>
      <c r="C35" s="2607" t="s">
        <v>3173</v>
      </c>
      <c r="D35" s="435">
        <v>100</v>
      </c>
      <c r="E35" s="2607" t="s">
        <v>3173</v>
      </c>
      <c r="F35" s="461">
        <f>SUMIF(107:107,E35,108:108)-SUMIF(107:107,C35,108:108)+100</f>
        <v>100</v>
      </c>
      <c r="G35" s="2607" t="s">
        <v>3173</v>
      </c>
      <c r="H35" s="435">
        <f>SUMIF(107:107,G35,108:108)-SUMIF(107:107,C35,108:108)+100</f>
        <v>100</v>
      </c>
      <c r="I35" s="2607" t="s">
        <v>3173</v>
      </c>
      <c r="J35" s="435">
        <f>SUMIF(107:107,I35,108:108)-SUMIF(107:107,C35,108:108)+100</f>
        <v>100</v>
      </c>
      <c r="K35" s="612">
        <v>2</v>
      </c>
      <c r="L35" s="1136"/>
      <c r="M35" s="1127"/>
      <c r="N35" s="1127"/>
      <c r="O35" s="1127"/>
      <c r="P35" s="3255"/>
      <c r="Q35" s="1805" t="str">
        <f t="shared" si="11"/>
        <v>公共部分装修</v>
      </c>
      <c r="R35" s="770" t="s">
        <v>17</v>
      </c>
      <c r="S35" s="771">
        <f t="shared" si="12"/>
        <v>100</v>
      </c>
      <c r="T35" s="770" t="s">
        <v>17</v>
      </c>
      <c r="U35" s="771">
        <f t="shared" si="13"/>
        <v>100</v>
      </c>
      <c r="V35" s="770" t="s">
        <v>17</v>
      </c>
      <c r="W35" s="771">
        <f t="shared" si="14"/>
        <v>100</v>
      </c>
      <c r="X35" s="1808"/>
      <c r="Y35" s="3257"/>
      <c r="Z35" s="1809" t="str">
        <f t="shared" si="15"/>
        <v>公共部分装修</v>
      </c>
      <c r="AA35" s="1806">
        <f t="shared" si="3"/>
        <v>1</v>
      </c>
      <c r="AB35" s="1806">
        <f t="shared" si="4"/>
        <v>1</v>
      </c>
      <c r="AC35" s="1806">
        <f t="shared" si="5"/>
        <v>1</v>
      </c>
    </row>
    <row r="36" spans="1:29" ht="15">
      <c r="A36" s="472"/>
      <c r="B36" s="422" t="s">
        <v>2653</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55"/>
      <c r="Q36" s="1805" t="str">
        <f t="shared" si="11"/>
        <v>成新度</v>
      </c>
      <c r="R36" s="770" t="s">
        <v>17</v>
      </c>
      <c r="S36" s="771">
        <f t="shared" si="12"/>
        <v>98</v>
      </c>
      <c r="T36" s="770" t="s">
        <v>17</v>
      </c>
      <c r="U36" s="771">
        <f t="shared" si="13"/>
        <v>100</v>
      </c>
      <c r="V36" s="770" t="s">
        <v>17</v>
      </c>
      <c r="W36" s="771">
        <f t="shared" si="14"/>
        <v>100</v>
      </c>
      <c r="X36" s="1808"/>
      <c r="Y36" s="3257"/>
      <c r="Z36" s="1809" t="str">
        <f t="shared" si="15"/>
        <v>成新度</v>
      </c>
      <c r="AA36" s="1806">
        <f t="shared" si="3"/>
        <v>1.0204081632653061</v>
      </c>
      <c r="AB36" s="1806">
        <f t="shared" si="4"/>
        <v>1</v>
      </c>
      <c r="AC36" s="1806">
        <f t="shared" si="5"/>
        <v>1</v>
      </c>
    </row>
    <row r="37" spans="1:29" s="117" customFormat="1" ht="15">
      <c r="A37" s="473"/>
      <c r="B37" s="422" t="s">
        <v>2654</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v>2</v>
      </c>
      <c r="L37" s="1128"/>
      <c r="M37" s="1129"/>
      <c r="N37" s="1129"/>
      <c r="O37" s="1129"/>
      <c r="P37" s="3255"/>
      <c r="Q37" s="1790" t="str">
        <f t="shared" si="11"/>
        <v>市政基础设施</v>
      </c>
      <c r="R37" s="766" t="s">
        <v>17</v>
      </c>
      <c r="S37" s="767">
        <f t="shared" si="12"/>
        <v>100</v>
      </c>
      <c r="T37" s="766" t="s">
        <v>17</v>
      </c>
      <c r="U37" s="767">
        <f t="shared" si="13"/>
        <v>100</v>
      </c>
      <c r="V37" s="766" t="s">
        <v>17</v>
      </c>
      <c r="W37" s="767">
        <f t="shared" si="14"/>
        <v>100</v>
      </c>
      <c r="X37" s="768"/>
      <c r="Y37" s="3257"/>
      <c r="Z37" s="55" t="str">
        <f t="shared" si="15"/>
        <v>市政基础设施</v>
      </c>
      <c r="AA37" s="769">
        <f t="shared" si="3"/>
        <v>1</v>
      </c>
      <c r="AB37" s="769">
        <f t="shared" si="4"/>
        <v>1</v>
      </c>
      <c r="AC37" s="769">
        <f t="shared" si="5"/>
        <v>1</v>
      </c>
    </row>
    <row r="38" spans="1:29" ht="15">
      <c r="A38" s="472"/>
      <c r="B38" s="422" t="s">
        <v>2655</v>
      </c>
      <c r="C38" s="2607" t="s">
        <v>3179</v>
      </c>
      <c r="D38" s="435">
        <v>100</v>
      </c>
      <c r="E38" s="2607" t="s">
        <v>3179</v>
      </c>
      <c r="F38" s="461">
        <f>SUMIF(114:114,E38,115:115)-SUMIF(114:114,C38,115:115)+100</f>
        <v>100</v>
      </c>
      <c r="G38" s="2607" t="s">
        <v>3179</v>
      </c>
      <c r="H38" s="435">
        <f>SUMIF(114:114,G38,115:115)-SUMIF(114:114,C38,115:115)+100</f>
        <v>100</v>
      </c>
      <c r="I38" s="2607" t="s">
        <v>3179</v>
      </c>
      <c r="J38" s="435">
        <f>SUMIF(114:114,I38,115:115)-SUMIF(114:114,C38,115:115)+100</f>
        <v>100</v>
      </c>
      <c r="K38" s="612">
        <v>2</v>
      </c>
      <c r="L38" s="1136"/>
      <c r="M38" s="1127"/>
      <c r="N38" s="1127"/>
      <c r="O38" s="1127"/>
      <c r="P38" s="3255" t="s">
        <v>2556</v>
      </c>
      <c r="Q38" s="1805" t="str">
        <f t="shared" si="11"/>
        <v>业态</v>
      </c>
      <c r="R38" s="770" t="s">
        <v>17</v>
      </c>
      <c r="S38" s="771">
        <f t="shared" si="12"/>
        <v>100</v>
      </c>
      <c r="T38" s="770" t="s">
        <v>17</v>
      </c>
      <c r="U38" s="771">
        <f t="shared" si="13"/>
        <v>100</v>
      </c>
      <c r="V38" s="770" t="s">
        <v>17</v>
      </c>
      <c r="W38" s="771">
        <f t="shared" si="14"/>
        <v>100</v>
      </c>
      <c r="X38" s="1808"/>
      <c r="Y38" s="3257" t="s">
        <v>2556</v>
      </c>
      <c r="Z38" s="1809" t="str">
        <f t="shared" si="15"/>
        <v>业态</v>
      </c>
      <c r="AA38" s="1806">
        <f t="shared" si="3"/>
        <v>1</v>
      </c>
      <c r="AB38" s="1806">
        <f t="shared" si="4"/>
        <v>1</v>
      </c>
      <c r="AC38" s="1806">
        <f t="shared" si="5"/>
        <v>1</v>
      </c>
    </row>
    <row r="39" spans="1:29" ht="15">
      <c r="A39" s="472"/>
      <c r="B39" s="422" t="s">
        <v>2656</v>
      </c>
      <c r="C39" s="2607" t="s">
        <v>3177</v>
      </c>
      <c r="D39" s="435">
        <v>100</v>
      </c>
      <c r="E39" s="2607" t="s">
        <v>3177</v>
      </c>
      <c r="F39" s="461">
        <f>SUMIF(116:116,E39,117:117)-SUMIF(116:116,C39,117:117)+100</f>
        <v>100</v>
      </c>
      <c r="G39" s="2607" t="s">
        <v>3177</v>
      </c>
      <c r="H39" s="435">
        <f>SUMIF(116:116,G39,117:117)-SUMIF(116:116,C39,117:117)+100</f>
        <v>100</v>
      </c>
      <c r="I39" s="2607" t="s">
        <v>3177</v>
      </c>
      <c r="J39" s="435">
        <f>SUMIF(116:116,I39,117:117)-SUMIF(116:116,C39,117:117)+100</f>
        <v>100</v>
      </c>
      <c r="K39" s="612">
        <v>5</v>
      </c>
      <c r="L39" s="1136"/>
      <c r="M39" s="1127"/>
      <c r="N39" s="1127"/>
      <c r="O39" s="1127"/>
      <c r="P39" s="3255"/>
      <c r="Q39" s="1805" t="str">
        <f t="shared" si="11"/>
        <v>层高</v>
      </c>
      <c r="R39" s="770" t="s">
        <v>17</v>
      </c>
      <c r="S39" s="771">
        <f t="shared" si="12"/>
        <v>100</v>
      </c>
      <c r="T39" s="770" t="s">
        <v>17</v>
      </c>
      <c r="U39" s="771">
        <f t="shared" si="13"/>
        <v>100</v>
      </c>
      <c r="V39" s="770" t="s">
        <v>17</v>
      </c>
      <c r="W39" s="771">
        <f t="shared" si="14"/>
        <v>100</v>
      </c>
      <c r="X39" s="1808"/>
      <c r="Y39" s="3257"/>
      <c r="Z39" s="1809" t="str">
        <f t="shared" si="15"/>
        <v>层高</v>
      </c>
      <c r="AA39" s="1806">
        <f t="shared" si="3"/>
        <v>1</v>
      </c>
      <c r="AB39" s="1806">
        <f t="shared" si="4"/>
        <v>1</v>
      </c>
      <c r="AC39" s="1806">
        <f t="shared" si="5"/>
        <v>1</v>
      </c>
    </row>
    <row r="40" spans="1:29" ht="15">
      <c r="A40" s="472"/>
      <c r="B40" s="422" t="s">
        <v>2657</v>
      </c>
      <c r="C40" s="2973"/>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55"/>
      <c r="Q40" s="1805" t="str">
        <f t="shared" si="11"/>
        <v>单套建筑面积</v>
      </c>
      <c r="R40" s="770" t="s">
        <v>17</v>
      </c>
      <c r="S40" s="771">
        <f t="shared" si="12"/>
        <v>100</v>
      </c>
      <c r="T40" s="770" t="s">
        <v>17</v>
      </c>
      <c r="U40" s="771">
        <f t="shared" si="13"/>
        <v>100</v>
      </c>
      <c r="V40" s="770" t="s">
        <v>17</v>
      </c>
      <c r="W40" s="771">
        <f t="shared" si="14"/>
        <v>100</v>
      </c>
      <c r="X40" s="1808"/>
      <c r="Y40" s="3257"/>
      <c r="Z40" s="1809" t="str">
        <f t="shared" si="15"/>
        <v>单套建筑面积</v>
      </c>
      <c r="AA40" s="1806">
        <f t="shared" si="3"/>
        <v>1</v>
      </c>
      <c r="AB40" s="1806">
        <f t="shared" si="4"/>
        <v>1</v>
      </c>
      <c r="AC40" s="1806">
        <f t="shared" si="5"/>
        <v>1</v>
      </c>
    </row>
    <row r="41" spans="1:29" s="471" customFormat="1" ht="15">
      <c r="A41" s="468"/>
      <c r="B41" s="1807"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55"/>
      <c r="Q41" s="772" t="str">
        <f t="shared" si="11"/>
        <v>进深比</v>
      </c>
      <c r="R41" s="773" t="s">
        <v>17</v>
      </c>
      <c r="S41" s="774">
        <f t="shared" si="12"/>
        <v>100</v>
      </c>
      <c r="T41" s="773" t="s">
        <v>17</v>
      </c>
      <c r="U41" s="774">
        <f t="shared" si="13"/>
        <v>100</v>
      </c>
      <c r="V41" s="773" t="s">
        <v>17</v>
      </c>
      <c r="W41" s="774">
        <f t="shared" si="14"/>
        <v>100</v>
      </c>
      <c r="X41" s="775"/>
      <c r="Y41" s="3257"/>
      <c r="Z41" s="776" t="str">
        <f t="shared" si="15"/>
        <v>进深比</v>
      </c>
      <c r="AA41" s="1806">
        <f t="shared" si="3"/>
        <v>1</v>
      </c>
      <c r="AB41" s="1806">
        <f t="shared" si="4"/>
        <v>1</v>
      </c>
      <c r="AC41" s="1806">
        <f t="shared" si="5"/>
        <v>1</v>
      </c>
    </row>
    <row r="42" spans="1:29" ht="15">
      <c r="A42" s="472"/>
      <c r="B42" s="422" t="s">
        <v>2659</v>
      </c>
      <c r="C42" s="2607" t="s">
        <v>3183</v>
      </c>
      <c r="D42" s="435">
        <v>100</v>
      </c>
      <c r="E42" s="2607" t="s">
        <v>3183</v>
      </c>
      <c r="F42" s="461">
        <f>SUMIF(122:122,E42,123:123)-SUMIF(122:122,C42,123:123)+100</f>
        <v>100</v>
      </c>
      <c r="G42" s="2607" t="s">
        <v>3183</v>
      </c>
      <c r="H42" s="435">
        <f>SUMIF(122:122,G42,123:123)-SUMIF(122:122,C42,123:123)+100</f>
        <v>100</v>
      </c>
      <c r="I42" s="2607" t="s">
        <v>3183</v>
      </c>
      <c r="J42" s="435">
        <f>SUMIF(122:122,I42,123:123)-SUMIF(122:122,C42,123:123)+100</f>
        <v>100</v>
      </c>
      <c r="K42" s="612">
        <v>2</v>
      </c>
      <c r="L42" s="1136"/>
      <c r="M42" s="1127"/>
      <c r="N42" s="1127"/>
      <c r="O42" s="1127"/>
      <c r="P42" s="3255"/>
      <c r="Q42" s="1805" t="str">
        <f t="shared" si="11"/>
        <v>内部装修</v>
      </c>
      <c r="R42" s="770" t="s">
        <v>17</v>
      </c>
      <c r="S42" s="771">
        <f t="shared" si="12"/>
        <v>100</v>
      </c>
      <c r="T42" s="770" t="s">
        <v>17</v>
      </c>
      <c r="U42" s="771">
        <f t="shared" si="13"/>
        <v>100</v>
      </c>
      <c r="V42" s="770" t="s">
        <v>17</v>
      </c>
      <c r="W42" s="771">
        <f t="shared" si="14"/>
        <v>100</v>
      </c>
      <c r="X42" s="1808"/>
      <c r="Y42" s="3257"/>
      <c r="Z42" s="1809" t="str">
        <f t="shared" si="15"/>
        <v>内部装修</v>
      </c>
      <c r="AA42" s="1806">
        <f t="shared" si="3"/>
        <v>1</v>
      </c>
      <c r="AB42" s="1806">
        <f t="shared" si="4"/>
        <v>1</v>
      </c>
      <c r="AC42" s="1806">
        <f t="shared" si="5"/>
        <v>1</v>
      </c>
    </row>
    <row r="43" spans="1:29" ht="15.75" thickBot="1">
      <c r="A43" s="472"/>
      <c r="B43" s="422" t="s">
        <v>2567</v>
      </c>
      <c r="C43" s="2607" t="s">
        <v>3173</v>
      </c>
      <c r="D43" s="435">
        <v>100</v>
      </c>
      <c r="E43" s="2607" t="s">
        <v>3173</v>
      </c>
      <c r="F43" s="461">
        <f>SUMIF(124:124,E43,125:125)-SUMIF(124:124,C43,125:125)+100</f>
        <v>100</v>
      </c>
      <c r="G43" s="2607" t="s">
        <v>3173</v>
      </c>
      <c r="H43" s="435">
        <f>SUMIF(124:124,G43,125:125)-SUMIF(124:124,C43,125:125)+100</f>
        <v>100</v>
      </c>
      <c r="I43" s="2607" t="s">
        <v>3173</v>
      </c>
      <c r="J43" s="435">
        <f>SUMIF(124:124,I43,125:125)-SUMIF(124:124,C43,125:125)+100</f>
        <v>100</v>
      </c>
      <c r="K43" s="612">
        <v>2</v>
      </c>
      <c r="L43" s="1136"/>
      <c r="M43" s="1127"/>
      <c r="N43" s="1127"/>
      <c r="O43" s="1127"/>
      <c r="P43" s="3255"/>
      <c r="Q43" s="1805" t="str">
        <f t="shared" si="11"/>
        <v>内部装修维护情况</v>
      </c>
      <c r="R43" s="770" t="s">
        <v>17</v>
      </c>
      <c r="S43" s="771">
        <f t="shared" si="12"/>
        <v>100</v>
      </c>
      <c r="T43" s="770" t="s">
        <v>17</v>
      </c>
      <c r="U43" s="771">
        <f t="shared" si="13"/>
        <v>100</v>
      </c>
      <c r="V43" s="770" t="s">
        <v>17</v>
      </c>
      <c r="W43" s="771">
        <f t="shared" si="14"/>
        <v>100</v>
      </c>
      <c r="X43" s="1808"/>
      <c r="Y43" s="3257"/>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5"/>
      <c r="Q44" s="1790">
        <f t="shared" si="11"/>
        <v>111</v>
      </c>
      <c r="R44" s="766" t="s">
        <v>17</v>
      </c>
      <c r="S44" s="767">
        <f t="shared" si="12"/>
        <v>100</v>
      </c>
      <c r="T44" s="766" t="s">
        <v>17</v>
      </c>
      <c r="U44" s="767">
        <f t="shared" si="13"/>
        <v>100</v>
      </c>
      <c r="V44" s="766" t="s">
        <v>17</v>
      </c>
      <c r="W44" s="767">
        <f t="shared" si="14"/>
        <v>100</v>
      </c>
      <c r="X44" s="768"/>
      <c r="Y44" s="3257"/>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5"/>
      <c r="Q45" s="1805">
        <f t="shared" si="11"/>
        <v>111</v>
      </c>
      <c r="R45" s="770" t="s">
        <v>17</v>
      </c>
      <c r="S45" s="771">
        <f t="shared" si="12"/>
        <v>100</v>
      </c>
      <c r="T45" s="770" t="s">
        <v>17</v>
      </c>
      <c r="U45" s="771">
        <f t="shared" si="13"/>
        <v>100</v>
      </c>
      <c r="V45" s="770" t="s">
        <v>17</v>
      </c>
      <c r="W45" s="771">
        <f t="shared" si="14"/>
        <v>100</v>
      </c>
      <c r="X45" s="1808"/>
      <c r="Y45" s="3257"/>
      <c r="Z45" s="1809">
        <f t="shared" si="15"/>
        <v>111</v>
      </c>
      <c r="AA45" s="1806">
        <f t="shared" si="3"/>
        <v>1</v>
      </c>
      <c r="AB45" s="1806">
        <f t="shared" si="4"/>
        <v>1</v>
      </c>
      <c r="AC45" s="1806">
        <f t="shared" si="5"/>
        <v>1</v>
      </c>
    </row>
    <row r="46" spans="1:29" ht="15.75" hidden="1"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6"/>
      <c r="Q46" s="1805">
        <f t="shared" si="11"/>
        <v>111</v>
      </c>
      <c r="R46" s="770" t="s">
        <v>17</v>
      </c>
      <c r="S46" s="771">
        <f t="shared" si="12"/>
        <v>100</v>
      </c>
      <c r="T46" s="770" t="s">
        <v>17</v>
      </c>
      <c r="U46" s="771">
        <f t="shared" si="13"/>
        <v>100</v>
      </c>
      <c r="V46" s="770" t="s">
        <v>17</v>
      </c>
      <c r="W46" s="771">
        <f t="shared" si="14"/>
        <v>100</v>
      </c>
      <c r="X46" s="1808"/>
      <c r="Y46" s="3258"/>
      <c r="Z46" s="1809">
        <f t="shared" si="15"/>
        <v>111</v>
      </c>
      <c r="AA46" s="1806">
        <f t="shared" si="3"/>
        <v>1</v>
      </c>
      <c r="AB46" s="1806">
        <f t="shared" si="4"/>
        <v>1</v>
      </c>
      <c r="AC46" s="1806">
        <f t="shared" si="5"/>
        <v>1</v>
      </c>
    </row>
    <row r="47" spans="1:29" ht="15">
      <c r="A47" s="479" t="s">
        <v>2568</v>
      </c>
      <c r="B47" s="480"/>
      <c r="C47" s="1403" t="s">
        <v>1</v>
      </c>
      <c r="D47" s="1404"/>
      <c r="E47" s="1405">
        <v>50132</v>
      </c>
      <c r="F47" s="1406"/>
      <c r="G47" s="1407">
        <v>50286</v>
      </c>
      <c r="H47" s="1408"/>
      <c r="I47" s="1405">
        <v>46061</v>
      </c>
      <c r="J47" s="1408"/>
      <c r="K47" s="779"/>
      <c r="L47" s="1139"/>
      <c r="M47" s="1140"/>
      <c r="N47" s="1127"/>
      <c r="O47" s="1140"/>
      <c r="P47" s="3250" t="str">
        <f>A47</f>
        <v>成交单价（元/平方米）</v>
      </c>
      <c r="Q47" s="3250"/>
      <c r="R47" s="3281">
        <f>E47</f>
        <v>50132</v>
      </c>
      <c r="S47" s="3281"/>
      <c r="T47" s="3281">
        <f>G47</f>
        <v>50286</v>
      </c>
      <c r="U47" s="3281"/>
      <c r="V47" s="3281">
        <f>I47</f>
        <v>46061</v>
      </c>
      <c r="W47" s="3281"/>
      <c r="X47" s="755"/>
      <c r="Y47" s="777"/>
      <c r="Z47" s="755"/>
      <c r="AA47" s="755"/>
      <c r="AB47" s="755"/>
      <c r="AC47" s="755"/>
    </row>
    <row r="48" spans="1:29" ht="15.75" thickBot="1">
      <c r="A48" s="486" t="s">
        <v>2660</v>
      </c>
      <c r="B48" s="487"/>
      <c r="C48" s="1409">
        <f>R49</f>
        <v>37836</v>
      </c>
      <c r="D48" s="1410"/>
      <c r="E48" s="1411">
        <f>R48</f>
        <v>39366</v>
      </c>
      <c r="F48" s="1411"/>
      <c r="G48" s="1409">
        <f>T48</f>
        <v>38697</v>
      </c>
      <c r="H48" s="1410"/>
      <c r="I48" s="1411">
        <f>V48</f>
        <v>35446</v>
      </c>
      <c r="J48" s="1410"/>
      <c r="K48" s="780"/>
      <c r="L48" s="1139"/>
      <c r="M48" s="1140"/>
      <c r="N48" s="1127"/>
      <c r="O48" s="1140"/>
      <c r="P48" s="3250" t="str">
        <f>A48</f>
        <v>比较价值（元/平方米）</v>
      </c>
      <c r="Q48" s="3250"/>
      <c r="R48" s="3251">
        <f>IF(F1="售价",ROUND(PRODUCT(R47,AA7:AA46),0),ROUND(PRODUCT(R47,AA7:AA46),1))</f>
        <v>39366</v>
      </c>
      <c r="S48" s="3251"/>
      <c r="T48" s="3251">
        <f>IF(F1="售价",ROUND(PRODUCT(T47,AB7:AB46),0),ROUND(PRODUCT(T47,AB7:AB46),1))</f>
        <v>38697</v>
      </c>
      <c r="U48" s="3251"/>
      <c r="V48" s="3251">
        <f>IF(F1="售价",ROUND(PRODUCT(V47,AC7:AC46),0),ROUND(PRODUCT(V47,AC7:AC46),1))</f>
        <v>35446</v>
      </c>
      <c r="W48" s="3251"/>
      <c r="X48" s="755"/>
      <c r="Y48" s="755"/>
      <c r="Z48" s="755"/>
      <c r="AA48" s="755"/>
      <c r="AB48" s="755"/>
      <c r="AC48" s="755"/>
    </row>
    <row r="49" spans="1:29" ht="15.75" thickBot="1">
      <c r="A49" s="492" t="s">
        <v>2661</v>
      </c>
      <c r="B49" s="493"/>
      <c r="C49" s="1413">
        <f>R49</f>
        <v>37836</v>
      </c>
      <c r="D49" s="1413"/>
      <c r="E49" s="1413"/>
      <c r="F49" s="1413"/>
      <c r="G49" s="1413"/>
      <c r="H49" s="1413"/>
      <c r="I49" s="1413"/>
      <c r="J49" s="1413"/>
      <c r="K49" s="781"/>
      <c r="L49" s="1139"/>
      <c r="M49" s="1140"/>
      <c r="N49" s="1127"/>
      <c r="O49" s="1140"/>
      <c r="P49" s="3247" t="str">
        <f>A49</f>
        <v>估价对象XX用房的比较价值（楼面单价，元/平方米）</v>
      </c>
      <c r="Q49" s="3248"/>
      <c r="R49" s="3249">
        <f>IF(F1="售价",ROUND(AVERAGE(R48:V48),0),ROUND(AVERAGE(R48:V48),1))</f>
        <v>37836</v>
      </c>
      <c r="S49" s="3249"/>
      <c r="T49" s="3249"/>
      <c r="U49" s="3249"/>
      <c r="V49" s="3249"/>
      <c r="W49" s="3249"/>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2662</v>
      </c>
      <c r="D52" s="498"/>
      <c r="E52" s="499">
        <f>IF(E47&lt;E48,E48/E47-1,E47/E48-1)</f>
        <v>0.27348473301834075</v>
      </c>
      <c r="F52" s="500" t="str">
        <f>IF(OR(E52&gt;=0.3,E52&lt;=-0.3),"超过30%","")</f>
        <v/>
      </c>
      <c r="G52" s="499">
        <f>IF(G47&lt;G48,G48/G47-1,G47/G48-1)</f>
        <v>0.29948057988991406</v>
      </c>
      <c r="H52" s="500" t="str">
        <f>IF(OR(G52&gt;=0.3,G52&lt;=-0.3),"超过30%","")</f>
        <v/>
      </c>
      <c r="I52" s="499">
        <f>IF(I47&lt;I48,I48/I47-1,I47/I48-1)</f>
        <v>0.29946961575354059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2663</v>
      </c>
      <c r="D53" s="501"/>
      <c r="E53" s="499">
        <f>IF(E48&lt;G48,G48/E48-1,E48/G48-1)</f>
        <v>1.7288161873013408E-2</v>
      </c>
      <c r="F53" s="500" t="str">
        <f>IF(OR(E53&gt;=0.2,E53&lt;=-0.2),"超过20%","")</f>
        <v/>
      </c>
      <c r="G53" s="499">
        <f>IF(G48&lt;I48,I48/G48-1,G48/I48-1)</f>
        <v>9.1716977938272271E-2</v>
      </c>
      <c r="H53" s="500" t="str">
        <f>IF(OR(G53&gt;=0.2,G53&lt;=-0.2),"超过20%","")</f>
        <v/>
      </c>
      <c r="I53" s="499">
        <f>IF(I48&lt;E48,E48/I48-1,I48/E48-1)</f>
        <v>0.11059075777238614</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2664</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0"/>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2665</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8" customFormat="1" ht="15">
      <c r="A58" s="505" t="s">
        <v>2539</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2"/>
    </row>
    <row r="60" spans="1:29" s="117" customFormat="1" ht="15.75" thickBot="1">
      <c r="A60" s="515" t="s">
        <v>2576</v>
      </c>
      <c r="B60" s="516"/>
      <c r="C60" s="517">
        <v>1</v>
      </c>
      <c r="D60" s="518"/>
      <c r="E60" s="518"/>
      <c r="F60" s="518"/>
      <c r="G60" s="518"/>
      <c r="H60" s="518"/>
      <c r="I60" s="518"/>
      <c r="J60" s="518"/>
      <c r="K60" s="518"/>
      <c r="L60" s="518"/>
      <c r="M60" s="519"/>
      <c r="N60" s="518"/>
      <c r="O60" s="519"/>
      <c r="P60" s="2622"/>
      <c r="Q60" s="504"/>
    </row>
    <row r="61" spans="1:29" s="117" customFormat="1" ht="15">
      <c r="A61" s="521" t="s">
        <v>2541</v>
      </c>
      <c r="B61" s="510"/>
      <c r="C61" s="522" t="s">
        <v>2643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2579</v>
      </c>
      <c r="B63" s="528" t="s">
        <v>2545</v>
      </c>
      <c r="C63" s="529" t="str">
        <f>C9</f>
        <v>商业</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8"/>
      <c r="O65" s="1148"/>
      <c r="P65" s="262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4"/>
      <c r="Q66" s="504"/>
    </row>
    <row r="67" spans="1:17" ht="15.75" thickTop="1">
      <c r="A67" s="534"/>
      <c r="B67" s="546" t="s">
        <v>2549</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4"/>
      <c r="Q67" s="504"/>
    </row>
    <row r="68" spans="1:17" ht="15">
      <c r="A68" s="534"/>
      <c r="B68" s="548"/>
      <c r="C68" s="549">
        <v>3</v>
      </c>
      <c r="D68" s="549">
        <v>4</v>
      </c>
      <c r="E68" s="549"/>
      <c r="F68" s="549"/>
      <c r="G68" s="549"/>
      <c r="H68" s="549"/>
      <c r="I68" s="549"/>
      <c r="J68" s="549"/>
      <c r="K68" s="550"/>
      <c r="L68" s="551"/>
      <c r="M68" s="552"/>
      <c r="N68" s="1148"/>
      <c r="O68" s="1148"/>
      <c r="P68" s="2624"/>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8"/>
      <c r="O76" s="1148"/>
      <c r="P76" s="262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8"/>
      <c r="O78" s="1148"/>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8"/>
      <c r="O80" s="1148"/>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4"/>
      <c r="Q81" s="504"/>
    </row>
    <row r="82" spans="1:17" ht="15.75" thickTop="1">
      <c r="A82" s="534"/>
      <c r="B82" s="546" t="s">
        <v>2646</v>
      </c>
      <c r="C82" s="659" t="s">
        <v>2666</v>
      </c>
      <c r="D82" s="659" t="s">
        <v>2667</v>
      </c>
      <c r="E82" s="659" t="s">
        <v>2668</v>
      </c>
      <c r="F82" s="659" t="s">
        <v>2669</v>
      </c>
      <c r="G82" s="659" t="s">
        <v>2670</v>
      </c>
      <c r="H82" s="539"/>
      <c r="I82" s="539"/>
      <c r="J82" s="539"/>
      <c r="K82" s="539"/>
      <c r="L82" s="539"/>
      <c r="M82" s="1378"/>
      <c r="N82" s="1149"/>
      <c r="O82" s="1149"/>
      <c r="P82" s="2624"/>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8"/>
      <c r="O84" s="1148"/>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4"/>
      <c r="Q85" s="504"/>
    </row>
    <row r="86" spans="1:17" s="117" customFormat="1" ht="15.75" thickTop="1">
      <c r="A86" s="579"/>
      <c r="B86" s="538" t="s">
        <v>2671</v>
      </c>
      <c r="C86" s="2971" t="s">
        <v>3288</v>
      </c>
      <c r="D86" s="2971" t="s">
        <v>3289</v>
      </c>
      <c r="E86" s="2971" t="s">
        <v>3291</v>
      </c>
      <c r="F86" s="2971" t="s">
        <v>3292</v>
      </c>
      <c r="G86" s="554"/>
      <c r="H86" s="554"/>
      <c r="I86" s="554"/>
      <c r="J86" s="554"/>
      <c r="K86" s="554"/>
      <c r="L86" s="580"/>
      <c r="M86" s="581"/>
      <c r="N86" s="1147"/>
      <c r="O86" s="1147"/>
      <c r="P86" s="2624"/>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2971" t="s">
        <v>3191</v>
      </c>
      <c r="D90" s="2971" t="s">
        <v>3192</v>
      </c>
      <c r="E90" s="2971" t="s">
        <v>3193</v>
      </c>
      <c r="F90" s="2971" t="s">
        <v>3194</v>
      </c>
      <c r="G90" s="2971" t="s">
        <v>3195</v>
      </c>
      <c r="H90" s="555"/>
      <c r="I90" s="555"/>
      <c r="J90" s="555"/>
      <c r="K90" s="555"/>
      <c r="L90" s="556"/>
      <c r="M90" s="557"/>
      <c r="N90" s="1150"/>
      <c r="O90" s="1150"/>
      <c r="P90" s="2625"/>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5"/>
      <c r="Q91" s="559"/>
    </row>
    <row r="92" spans="1:17" ht="15.75" thickTop="1">
      <c r="A92" s="534"/>
      <c r="B92" s="538" t="str">
        <f>B28</f>
        <v>楼层</v>
      </c>
      <c r="C92" s="554">
        <v>1</v>
      </c>
      <c r="D92" s="2969" t="s">
        <v>3168</v>
      </c>
      <c r="E92" s="554">
        <v>2</v>
      </c>
      <c r="F92" s="554"/>
      <c r="G92" s="554"/>
      <c r="H92" s="554"/>
      <c r="I92" s="554"/>
      <c r="J92" s="554"/>
      <c r="K92" s="554"/>
      <c r="L92" s="580"/>
      <c r="M92" s="581"/>
      <c r="N92" s="1148"/>
      <c r="O92" s="1148"/>
      <c r="P92" s="2624"/>
      <c r="Q92" s="504"/>
    </row>
    <row r="93" spans="1:17" ht="15.75" thickBot="1">
      <c r="A93" s="534"/>
      <c r="B93" s="543"/>
      <c r="C93" s="536">
        <v>100</v>
      </c>
      <c r="D93" s="536">
        <v>85</v>
      </c>
      <c r="E93" s="536">
        <v>70</v>
      </c>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2554</v>
      </c>
      <c r="B100" s="528" t="s">
        <v>2672</v>
      </c>
      <c r="C100" s="2974" t="s">
        <v>3187</v>
      </c>
      <c r="D100" s="2974" t="s">
        <v>3188</v>
      </c>
      <c r="E100" s="2975" t="s">
        <v>3197</v>
      </c>
      <c r="F100" s="2974" t="s">
        <v>3189</v>
      </c>
      <c r="G100" s="2974" t="s">
        <v>3190</v>
      </c>
      <c r="H100" s="530"/>
      <c r="I100" s="530"/>
      <c r="J100" s="530"/>
      <c r="K100" s="531"/>
      <c r="L100" s="532"/>
      <c r="M100" s="533"/>
      <c r="N100" s="1148"/>
      <c r="O100" s="1148"/>
      <c r="P100" s="2624"/>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4"/>
      <c r="Q101" s="504"/>
    </row>
    <row r="102" spans="1:17" ht="15.75" thickTop="1">
      <c r="A102" s="534"/>
      <c r="B102" s="538" t="s">
        <v>2604</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4"/>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5"/>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5"/>
      <c r="Q104" s="559"/>
    </row>
    <row r="105" spans="1:17" ht="15" thickTop="1">
      <c r="A105" s="599"/>
      <c r="B105" s="538" t="s">
        <v>2605</v>
      </c>
      <c r="C105" s="2971" t="s">
        <v>3199</v>
      </c>
      <c r="D105" s="2971" t="s">
        <v>3200</v>
      </c>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4"/>
      <c r="Q106" s="504"/>
    </row>
    <row r="107" spans="1:17" ht="15" thickTop="1">
      <c r="A107" s="599"/>
      <c r="B107" s="538" t="s">
        <v>2607</v>
      </c>
      <c r="C107" s="2971" t="s">
        <v>3198</v>
      </c>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4"/>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4"/>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4"/>
      <c r="Q111" s="504"/>
    </row>
    <row r="112" spans="1:17" s="471" customFormat="1" ht="15" thickTop="1">
      <c r="A112" s="593"/>
      <c r="B112" s="538" t="s">
        <v>2609</v>
      </c>
      <c r="C112" s="2971" t="s">
        <v>3213</v>
      </c>
      <c r="D112" s="2971" t="s">
        <v>3214</v>
      </c>
      <c r="E112" s="2971" t="s">
        <v>3215</v>
      </c>
      <c r="F112" s="2971" t="s">
        <v>3216</v>
      </c>
      <c r="G112" s="554"/>
      <c r="H112" s="583"/>
      <c r="I112" s="583"/>
      <c r="J112" s="583"/>
      <c r="K112" s="584"/>
      <c r="L112" s="585"/>
      <c r="M112" s="586"/>
      <c r="N112" s="1150"/>
      <c r="O112" s="1150"/>
      <c r="P112" s="2625"/>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5"/>
      <c r="Q113" s="559"/>
    </row>
    <row r="114" spans="1:17" ht="15" thickTop="1">
      <c r="A114" s="599"/>
      <c r="B114" s="538" t="s">
        <v>2673</v>
      </c>
      <c r="C114" s="2971" t="s">
        <v>3180</v>
      </c>
      <c r="D114" s="2971" t="s">
        <v>3181</v>
      </c>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4"/>
      <c r="Q115" s="504"/>
    </row>
    <row r="116" spans="1:17" ht="15" thickTop="1">
      <c r="A116" s="599"/>
      <c r="B116" s="538" t="s">
        <v>2674</v>
      </c>
      <c r="C116" s="2971" t="s">
        <v>3176</v>
      </c>
      <c r="D116" s="2971" t="s">
        <v>3178</v>
      </c>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4"/>
      <c r="Q117" s="504"/>
    </row>
    <row r="118" spans="1:17" ht="15" thickTop="1">
      <c r="A118" s="599"/>
      <c r="B118" s="538" t="s">
        <v>2675</v>
      </c>
      <c r="C118" s="626"/>
      <c r="D118" s="626"/>
      <c r="E118" s="626"/>
      <c r="F118" s="626"/>
      <c r="G118" s="626"/>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2676</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5"/>
      <c r="Q121" s="559"/>
    </row>
    <row r="122" spans="1:17" ht="15" thickTop="1">
      <c r="A122" s="599"/>
      <c r="B122" s="538" t="s">
        <v>2611</v>
      </c>
      <c r="C122" s="2971" t="s">
        <v>3182</v>
      </c>
      <c r="D122" s="2971" t="s">
        <v>3184</v>
      </c>
      <c r="E122" s="2971" t="s">
        <v>3185</v>
      </c>
      <c r="F122" s="2972" t="s">
        <v>3186</v>
      </c>
      <c r="G122" s="583"/>
      <c r="H122" s="583"/>
      <c r="I122" s="583"/>
      <c r="J122" s="583"/>
      <c r="K122" s="584"/>
      <c r="L122" s="585"/>
      <c r="M122" s="586"/>
      <c r="N122" s="1148"/>
      <c r="O122" s="1148"/>
      <c r="P122" s="2624"/>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8"/>
      <c r="O124" s="1148"/>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663" t="s">
        <v>2677</v>
      </c>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IF(C2="——",ROUND(C50*D3/10000,0),ROUND(C50*D3/10000,0)-D2)</f>
        <v>#DIV/0!</v>
      </c>
      <c r="C2" s="2580"/>
      <c r="D2" s="1361" t="e">
        <f ca="1">SUMIF(INDIRECT("'"&amp;F2&amp;"'"&amp;"!A:A"),"承租人权益价值",INDIRECT("'"&amp;F2&amp;"'"&amp;"!c:c"))</f>
        <v>#REF!</v>
      </c>
      <c r="E2" s="2581" t="s">
        <v>2319</v>
      </c>
      <c r="F2" s="2582"/>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 ca="1">IF(C2="——",C50,ROUND(B2*10000/D3,0))</f>
        <v>#DIV/0!</v>
      </c>
      <c r="C3" s="400" t="s">
        <v>2635</v>
      </c>
      <c r="D3" s="399">
        <f>IF(D1="",'数据-汇总表'!E3,SUMIF('数据-汇总表'!$C19:$C33,D1,'数据-汇总表'!$E19:$E33))</f>
        <v>3095.6800000000007</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301" t="s">
        <v>2642</v>
      </c>
      <c r="Q4" s="3302"/>
      <c r="R4" s="3305" t="s">
        <v>2638</v>
      </c>
      <c r="S4" s="3306"/>
      <c r="T4" s="3305" t="s">
        <v>2639</v>
      </c>
      <c r="U4" s="3306"/>
      <c r="V4" s="3307" t="s">
        <v>2640</v>
      </c>
      <c r="W4" s="3307"/>
      <c r="X4" s="2664"/>
      <c r="Y4" s="3305" t="s">
        <v>2642</v>
      </c>
      <c r="Z4" s="3306"/>
      <c r="AA4" s="3309" t="s">
        <v>2638</v>
      </c>
      <c r="AB4" s="3309" t="s">
        <v>2639</v>
      </c>
      <c r="AC4" s="3298" t="s">
        <v>2640</v>
      </c>
    </row>
    <row r="5" spans="1:29" ht="15">
      <c r="A5" s="404"/>
      <c r="B5" s="405"/>
      <c r="C5" s="3284" t="s">
        <v>2533</v>
      </c>
      <c r="D5" s="3285"/>
      <c r="E5" s="3291" t="s">
        <v>2534</v>
      </c>
      <c r="F5" s="3292"/>
      <c r="G5" s="3284" t="s">
        <v>2535</v>
      </c>
      <c r="H5" s="3285"/>
      <c r="I5" s="3284" t="s">
        <v>2536</v>
      </c>
      <c r="J5" s="3285"/>
      <c r="K5" s="610"/>
      <c r="L5" s="1126"/>
      <c r="M5" s="1127"/>
      <c r="N5" s="1127"/>
      <c r="O5" s="1127"/>
      <c r="P5" s="3303"/>
      <c r="Q5" s="3272"/>
      <c r="R5" s="3277"/>
      <c r="S5" s="3278"/>
      <c r="T5" s="3277"/>
      <c r="U5" s="3278"/>
      <c r="V5" s="3281"/>
      <c r="W5" s="3281"/>
      <c r="X5" s="1808"/>
      <c r="Y5" s="3277"/>
      <c r="Z5" s="3278"/>
      <c r="AA5" s="3263"/>
      <c r="AB5" s="3263"/>
      <c r="AC5" s="3299"/>
    </row>
    <row r="6" spans="1:29" ht="15.75" thickBot="1">
      <c r="A6" s="406"/>
      <c r="B6" s="407"/>
      <c r="C6" s="3282" t="s">
        <v>2537</v>
      </c>
      <c r="D6" s="3283"/>
      <c r="E6" s="3289" t="s">
        <v>2537</v>
      </c>
      <c r="F6" s="3290"/>
      <c r="G6" s="3282" t="s">
        <v>2537</v>
      </c>
      <c r="H6" s="3283"/>
      <c r="I6" s="3282" t="s">
        <v>2537</v>
      </c>
      <c r="J6" s="3283"/>
      <c r="K6" s="610" t="s">
        <v>2538</v>
      </c>
      <c r="L6" s="1126"/>
      <c r="M6" s="1127"/>
      <c r="N6" s="1127"/>
      <c r="O6" s="1127"/>
      <c r="P6" s="3304"/>
      <c r="Q6" s="3274"/>
      <c r="R6" s="3277"/>
      <c r="S6" s="3278"/>
      <c r="T6" s="3279"/>
      <c r="U6" s="3280"/>
      <c r="V6" s="3281"/>
      <c r="W6" s="3281"/>
      <c r="X6" s="1808"/>
      <c r="Y6" s="3279"/>
      <c r="Z6" s="3280"/>
      <c r="AA6" s="3264"/>
      <c r="AB6" s="3264"/>
      <c r="AC6" s="3300"/>
    </row>
    <row r="7" spans="1:29" s="117" customFormat="1" ht="15.75" thickBot="1">
      <c r="A7" s="408" t="s">
        <v>2539</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8" t="s">
        <v>2540</v>
      </c>
      <c r="Q7" s="3288"/>
      <c r="R7" s="766" t="s">
        <v>17</v>
      </c>
      <c r="S7" s="767">
        <f t="shared" ref="S7:S15" si="0">F7</f>
        <v>0</v>
      </c>
      <c r="T7" s="766" t="s">
        <v>17</v>
      </c>
      <c r="U7" s="767">
        <f t="shared" ref="U7:U15" si="1">H7</f>
        <v>0</v>
      </c>
      <c r="V7" s="766" t="s">
        <v>17</v>
      </c>
      <c r="W7" s="767">
        <f t="shared" ref="W7:W15" si="2">J7</f>
        <v>0</v>
      </c>
      <c r="X7" s="768"/>
      <c r="Y7" s="3286" t="s">
        <v>2540</v>
      </c>
      <c r="Z7" s="3287"/>
      <c r="AA7" s="769" t="e">
        <f>D7/F7</f>
        <v>#DIV/0!</v>
      </c>
      <c r="AB7" s="769" t="e">
        <f>D7/H7</f>
        <v>#DIV/0!</v>
      </c>
      <c r="AC7" s="266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8" t="s">
        <v>2543</v>
      </c>
      <c r="Q8" s="3287"/>
      <c r="R8" s="766" t="s">
        <v>17</v>
      </c>
      <c r="S8" s="767">
        <f t="shared" si="0"/>
        <v>0</v>
      </c>
      <c r="T8" s="766" t="s">
        <v>17</v>
      </c>
      <c r="U8" s="767">
        <f t="shared" si="1"/>
        <v>0</v>
      </c>
      <c r="V8" s="766" t="s">
        <v>17</v>
      </c>
      <c r="W8" s="767">
        <f t="shared" si="2"/>
        <v>0</v>
      </c>
      <c r="X8" s="768"/>
      <c r="Y8" s="3286" t="s">
        <v>2543</v>
      </c>
      <c r="Z8" s="3287"/>
      <c r="AA8" s="769" t="e">
        <f t="shared" ref="AA8:AA47" si="3">D8/F8</f>
        <v>#DIV/0!</v>
      </c>
      <c r="AB8" s="769" t="e">
        <f t="shared" ref="AB8:AB47" si="4">D8/H8</f>
        <v>#DIV/0!</v>
      </c>
      <c r="AC8" s="266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61"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266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61"/>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266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61"/>
      <c r="Q11" s="1790" t="str">
        <f t="shared" si="6"/>
        <v>容积率</v>
      </c>
      <c r="R11" s="766" t="s">
        <v>17</v>
      </c>
      <c r="S11" s="767" t="e">
        <f t="shared" si="0"/>
        <v>#N/A</v>
      </c>
      <c r="T11" s="766" t="s">
        <v>17</v>
      </c>
      <c r="U11" s="767" t="e">
        <f t="shared" si="1"/>
        <v>#N/A</v>
      </c>
      <c r="V11" s="766" t="s">
        <v>17</v>
      </c>
      <c r="W11" s="767" t="e">
        <f t="shared" si="2"/>
        <v>#N/A</v>
      </c>
      <c r="X11" s="768"/>
      <c r="Y11" s="3081"/>
      <c r="Z11" s="55" t="str">
        <f t="shared" si="7"/>
        <v>容积率</v>
      </c>
      <c r="AA11" s="769" t="e">
        <f t="shared" si="3"/>
        <v>#N/A</v>
      </c>
      <c r="AB11" s="769"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261"/>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261"/>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2665">
        <f t="shared" si="5"/>
        <v>1</v>
      </c>
    </row>
    <row r="14" spans="1:29" ht="15.75" thickBot="1">
      <c r="A14" s="436"/>
      <c r="B14" s="2596">
        <v>111</v>
      </c>
      <c r="C14" s="437"/>
      <c r="D14" s="438">
        <v>100</v>
      </c>
      <c r="E14" s="627"/>
      <c r="F14" s="438">
        <f>SUMIF(75:75,E14,76:76)-SUMIF(75:75,C14,76:76)+100</f>
        <v>100</v>
      </c>
      <c r="G14" s="2666"/>
      <c r="H14" s="438">
        <f>SUMIF(75:75,G14,76:76)-SUMIF(75:75,C14,76:76)+100</f>
        <v>100</v>
      </c>
      <c r="I14" s="432"/>
      <c r="J14" s="438">
        <f>SUMIF(75:75,I14,76:76)-SUMIF(75:75,C14,76:76)+100</f>
        <v>100</v>
      </c>
      <c r="K14" s="613"/>
      <c r="L14" s="1136"/>
      <c r="M14" s="1127"/>
      <c r="N14" s="1127"/>
      <c r="O14" s="1127"/>
      <c r="P14" s="3261"/>
      <c r="Q14" s="1790">
        <f t="shared" si="6"/>
        <v>111</v>
      </c>
      <c r="R14" s="766" t="s">
        <v>17</v>
      </c>
      <c r="S14" s="767">
        <f t="shared" si="0"/>
        <v>100</v>
      </c>
      <c r="T14" s="766" t="s">
        <v>17</v>
      </c>
      <c r="U14" s="767">
        <f t="shared" si="1"/>
        <v>100</v>
      </c>
      <c r="V14" s="766" t="s">
        <v>17</v>
      </c>
      <c r="W14" s="767">
        <f t="shared" si="2"/>
        <v>100</v>
      </c>
      <c r="X14" s="768"/>
      <c r="Y14" s="3081"/>
      <c r="Z14" s="55">
        <f t="shared" si="7"/>
        <v>111</v>
      </c>
      <c r="AA14" s="769">
        <f t="shared" si="3"/>
        <v>1</v>
      </c>
      <c r="AB14" s="769">
        <f t="shared" si="4"/>
        <v>1</v>
      </c>
      <c r="AC14" s="2665">
        <f t="shared" si="5"/>
        <v>1</v>
      </c>
    </row>
    <row r="15" spans="1:29" ht="71.25">
      <c r="A15" s="440" t="s">
        <v>2550</v>
      </c>
      <c r="B15" s="628" t="s">
        <v>2678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59" t="s">
        <v>2551</v>
      </c>
      <c r="Q15" s="1805" t="str">
        <f t="shared" si="6"/>
        <v>办公集聚程度</v>
      </c>
      <c r="R15" s="770" t="s">
        <v>17</v>
      </c>
      <c r="S15" s="771">
        <f t="shared" si="0"/>
        <v>100</v>
      </c>
      <c r="T15" s="770" t="s">
        <v>17</v>
      </c>
      <c r="U15" s="771">
        <f t="shared" si="1"/>
        <v>100</v>
      </c>
      <c r="V15" s="770" t="s">
        <v>17</v>
      </c>
      <c r="W15" s="771">
        <f t="shared" si="2"/>
        <v>100</v>
      </c>
      <c r="X15" s="1808"/>
      <c r="Y15" s="3252" t="s">
        <v>2551</v>
      </c>
      <c r="Z15" s="1809" t="str">
        <f t="shared" si="7"/>
        <v>办公集聚程度</v>
      </c>
      <c r="AA15" s="1806">
        <f t="shared" si="3"/>
        <v>1</v>
      </c>
      <c r="AB15" s="1806">
        <f t="shared" si="4"/>
        <v>1</v>
      </c>
      <c r="AC15" s="2668">
        <f t="shared" si="5"/>
        <v>1</v>
      </c>
    </row>
    <row r="16" spans="1:29" ht="15">
      <c r="A16" s="428"/>
      <c r="B16" s="629"/>
      <c r="C16" s="2605"/>
      <c r="D16" s="448"/>
      <c r="E16" s="447"/>
      <c r="F16" s="448"/>
      <c r="G16" s="2605"/>
      <c r="H16" s="450"/>
      <c r="I16" s="447"/>
      <c r="J16" s="448"/>
      <c r="K16" s="615"/>
      <c r="L16" s="1136"/>
      <c r="M16" s="1127"/>
      <c r="N16" s="1127"/>
      <c r="O16" s="1127"/>
      <c r="P16" s="3260"/>
      <c r="Q16" s="1805"/>
      <c r="R16" s="770"/>
      <c r="S16" s="771"/>
      <c r="T16" s="770"/>
      <c r="U16" s="771"/>
      <c r="V16" s="770"/>
      <c r="W16" s="771"/>
      <c r="X16" s="1808"/>
      <c r="Y16" s="3253"/>
      <c r="Z16" s="1809"/>
      <c r="AA16" s="1806">
        <v>1</v>
      </c>
      <c r="AB16" s="1806">
        <v>1</v>
      </c>
      <c r="AC16" s="2668">
        <v>1</v>
      </c>
    </row>
    <row r="17" spans="1:29" ht="71.25">
      <c r="A17" s="428"/>
      <c r="B17" s="630" t="s">
        <v>2090</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60"/>
      <c r="Q17" s="1805" t="str">
        <f>B17</f>
        <v>交通便捷度</v>
      </c>
      <c r="R17" s="770" t="s">
        <v>17</v>
      </c>
      <c r="S17" s="771">
        <f>F17</f>
        <v>100</v>
      </c>
      <c r="T17" s="770" t="s">
        <v>17</v>
      </c>
      <c r="U17" s="771">
        <f>H17</f>
        <v>100</v>
      </c>
      <c r="V17" s="770" t="s">
        <v>17</v>
      </c>
      <c r="W17" s="771">
        <f>J17</f>
        <v>100</v>
      </c>
      <c r="X17" s="1808"/>
      <c r="Y17" s="3253"/>
      <c r="Z17" s="1809" t="str">
        <f>Q17</f>
        <v>交通便捷度</v>
      </c>
      <c r="AA17" s="1806">
        <f t="shared" si="3"/>
        <v>1</v>
      </c>
      <c r="AB17" s="1806">
        <f t="shared" si="4"/>
        <v>1</v>
      </c>
      <c r="AC17" s="2668">
        <f t="shared" si="5"/>
        <v>1</v>
      </c>
    </row>
    <row r="18" spans="1:29" ht="15">
      <c r="A18" s="428"/>
      <c r="B18" s="631"/>
      <c r="C18" s="2670"/>
      <c r="D18" s="450"/>
      <c r="E18" s="2603"/>
      <c r="F18" s="450"/>
      <c r="G18" s="2604"/>
      <c r="H18" s="448"/>
      <c r="I18" s="2604"/>
      <c r="J18" s="448"/>
      <c r="K18" s="615"/>
      <c r="L18" s="1136"/>
      <c r="M18" s="1127"/>
      <c r="N18" s="1127"/>
      <c r="O18" s="1127"/>
      <c r="P18" s="3260"/>
      <c r="Q18" s="1805"/>
      <c r="R18" s="770"/>
      <c r="S18" s="771"/>
      <c r="T18" s="770"/>
      <c r="U18" s="771"/>
      <c r="V18" s="770"/>
      <c r="W18" s="771"/>
      <c r="X18" s="1808"/>
      <c r="Y18" s="3253"/>
      <c r="Z18" s="1809"/>
      <c r="AA18" s="1806">
        <v>1</v>
      </c>
      <c r="AB18" s="1806">
        <v>1</v>
      </c>
      <c r="AC18" s="2668">
        <v>1</v>
      </c>
    </row>
    <row r="19" spans="1:29" ht="42.75">
      <c r="A19" s="428"/>
      <c r="B19" s="630" t="s">
        <v>2679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60"/>
      <c r="Q19" s="1805" t="str">
        <f>B19</f>
        <v>公共配套设施</v>
      </c>
      <c r="R19" s="770" t="s">
        <v>17</v>
      </c>
      <c r="S19" s="771">
        <f>F19</f>
        <v>100</v>
      </c>
      <c r="T19" s="770" t="s">
        <v>17</v>
      </c>
      <c r="U19" s="771">
        <f>H19</f>
        <v>100</v>
      </c>
      <c r="V19" s="770" t="s">
        <v>17</v>
      </c>
      <c r="W19" s="771">
        <f>J19</f>
        <v>100</v>
      </c>
      <c r="X19" s="1808"/>
      <c r="Y19" s="3253"/>
      <c r="Z19" s="1809" t="str">
        <f>Q19</f>
        <v>公共配套设施</v>
      </c>
      <c r="AA19" s="1806">
        <f t="shared" si="3"/>
        <v>1</v>
      </c>
      <c r="AB19" s="1806">
        <f t="shared" si="4"/>
        <v>1</v>
      </c>
      <c r="AC19" s="2668">
        <f t="shared" si="5"/>
        <v>1</v>
      </c>
    </row>
    <row r="20" spans="1:29" ht="15">
      <c r="A20" s="428"/>
      <c r="B20" s="631"/>
      <c r="C20" s="2605"/>
      <c r="D20" s="448"/>
      <c r="E20" s="2598"/>
      <c r="F20" s="448"/>
      <c r="G20" s="2599"/>
      <c r="H20" s="448"/>
      <c r="I20" s="2599"/>
      <c r="J20" s="448"/>
      <c r="K20" s="615"/>
      <c r="L20" s="1136"/>
      <c r="M20" s="1127"/>
      <c r="N20" s="1127"/>
      <c r="O20" s="1127"/>
      <c r="P20" s="3260"/>
      <c r="Q20" s="1805"/>
      <c r="R20" s="770"/>
      <c r="S20" s="771"/>
      <c r="T20" s="770"/>
      <c r="U20" s="771"/>
      <c r="V20" s="770"/>
      <c r="W20" s="771"/>
      <c r="X20" s="1808"/>
      <c r="Y20" s="3253"/>
      <c r="Z20" s="1809"/>
      <c r="AA20" s="1806">
        <v>1</v>
      </c>
      <c r="AB20" s="1806">
        <v>1</v>
      </c>
      <c r="AC20" s="2668">
        <v>1</v>
      </c>
    </row>
    <row r="21" spans="1:29" ht="28.5">
      <c r="A21" s="428"/>
      <c r="B21" s="632" t="s">
        <v>2680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60"/>
      <c r="Q21" s="1805" t="str">
        <f>B21</f>
        <v>基础设施水平</v>
      </c>
      <c r="R21" s="770" t="s">
        <v>17</v>
      </c>
      <c r="S21" s="771">
        <f>F21</f>
        <v>100</v>
      </c>
      <c r="T21" s="770" t="s">
        <v>17</v>
      </c>
      <c r="U21" s="771">
        <f>H21</f>
        <v>100</v>
      </c>
      <c r="V21" s="770" t="s">
        <v>17</v>
      </c>
      <c r="W21" s="771">
        <f>J21</f>
        <v>100</v>
      </c>
      <c r="X21" s="1808"/>
      <c r="Y21" s="3253"/>
      <c r="Z21" s="1809" t="str">
        <f>Q21</f>
        <v>基础设施水平</v>
      </c>
      <c r="AA21" s="1806">
        <f t="shared" ref="AA21" si="8">D21/F21</f>
        <v>1</v>
      </c>
      <c r="AB21" s="1806">
        <f t="shared" ref="AB21" si="9">D21/H21</f>
        <v>1</v>
      </c>
      <c r="AC21" s="2668">
        <f t="shared" ref="AC21" si="10">D21/J21</f>
        <v>1</v>
      </c>
    </row>
    <row r="22" spans="1:29" ht="15">
      <c r="A22" s="428"/>
      <c r="B22" s="632"/>
      <c r="C22" s="2670"/>
      <c r="D22" s="448"/>
      <c r="E22" s="447"/>
      <c r="F22" s="448"/>
      <c r="G22" s="2605"/>
      <c r="H22" s="448"/>
      <c r="I22" s="2605"/>
      <c r="J22" s="448"/>
      <c r="K22" s="1379"/>
      <c r="L22" s="1136"/>
      <c r="M22" s="1127"/>
      <c r="N22" s="1127"/>
      <c r="O22" s="1127"/>
      <c r="P22" s="3260"/>
      <c r="Q22" s="1805"/>
      <c r="R22" s="770"/>
      <c r="S22" s="771"/>
      <c r="T22" s="770"/>
      <c r="U22" s="771"/>
      <c r="V22" s="770"/>
      <c r="W22" s="771"/>
      <c r="X22" s="1808"/>
      <c r="Y22" s="3253"/>
      <c r="Z22" s="1809"/>
      <c r="AA22" s="1806">
        <v>1</v>
      </c>
      <c r="AB22" s="1806">
        <v>1</v>
      </c>
      <c r="AC22" s="2668">
        <v>1</v>
      </c>
    </row>
    <row r="23" spans="1:29" ht="42.75">
      <c r="A23" s="428"/>
      <c r="B23" s="630" t="s">
        <v>2681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60"/>
      <c r="Q23" s="1805" t="str">
        <f>B23</f>
        <v>环境质量</v>
      </c>
      <c r="R23" s="770" t="s">
        <v>17</v>
      </c>
      <c r="S23" s="771">
        <f>F23</f>
        <v>100</v>
      </c>
      <c r="T23" s="770" t="s">
        <v>17</v>
      </c>
      <c r="U23" s="771">
        <f>H23</f>
        <v>100</v>
      </c>
      <c r="V23" s="770" t="s">
        <v>17</v>
      </c>
      <c r="W23" s="771">
        <f>J23</f>
        <v>100</v>
      </c>
      <c r="X23" s="1808"/>
      <c r="Y23" s="3253"/>
      <c r="Z23" s="1809" t="str">
        <f>Q23</f>
        <v>环境质量</v>
      </c>
      <c r="AA23" s="1806">
        <f t="shared" si="3"/>
        <v>1</v>
      </c>
      <c r="AB23" s="1806">
        <f t="shared" si="4"/>
        <v>1</v>
      </c>
      <c r="AC23" s="2668">
        <f t="shared" si="5"/>
        <v>1</v>
      </c>
    </row>
    <row r="24" spans="1:29" ht="15">
      <c r="A24" s="428"/>
      <c r="B24" s="632"/>
      <c r="C24" s="2605"/>
      <c r="D24" s="448"/>
      <c r="E24" s="2598"/>
      <c r="F24" s="448"/>
      <c r="G24" s="2599"/>
      <c r="H24" s="448"/>
      <c r="I24" s="2599"/>
      <c r="J24" s="448"/>
      <c r="K24" s="615"/>
      <c r="L24" s="1136"/>
      <c r="M24" s="1127"/>
      <c r="N24" s="1127"/>
      <c r="O24" s="1127"/>
      <c r="P24" s="3260"/>
      <c r="Q24" s="1805"/>
      <c r="R24" s="770"/>
      <c r="S24" s="771"/>
      <c r="T24" s="770"/>
      <c r="U24" s="771"/>
      <c r="V24" s="770"/>
      <c r="W24" s="771"/>
      <c r="X24" s="1808"/>
      <c r="Y24" s="3253"/>
      <c r="Z24" s="1809"/>
      <c r="AA24" s="1806">
        <v>1</v>
      </c>
      <c r="AB24" s="1806">
        <v>1</v>
      </c>
      <c r="AC24" s="2668">
        <v>1</v>
      </c>
    </row>
    <row r="25" spans="1:29" ht="27">
      <c r="A25" s="404"/>
      <c r="B25" s="630" t="s">
        <v>2682</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60"/>
      <c r="Q25" s="1805" t="str">
        <f>B25</f>
        <v>毗邻道路的类型与等级</v>
      </c>
      <c r="R25" s="770" t="s">
        <v>17</v>
      </c>
      <c r="S25" s="771">
        <f>F25</f>
        <v>100</v>
      </c>
      <c r="T25" s="770" t="s">
        <v>17</v>
      </c>
      <c r="U25" s="771">
        <f>H25</f>
        <v>100</v>
      </c>
      <c r="V25" s="770" t="s">
        <v>17</v>
      </c>
      <c r="W25" s="771">
        <f>J25</f>
        <v>100</v>
      </c>
      <c r="X25" s="1808"/>
      <c r="Y25" s="3253"/>
      <c r="Z25" s="1809" t="str">
        <f>Q25</f>
        <v>毗邻道路的类型与等级</v>
      </c>
      <c r="AA25" s="1806">
        <f t="shared" si="3"/>
        <v>1</v>
      </c>
      <c r="AB25" s="1806">
        <f t="shared" si="4"/>
        <v>1</v>
      </c>
      <c r="AC25" s="2668">
        <f t="shared" si="5"/>
        <v>1</v>
      </c>
    </row>
    <row r="26" spans="1:29" ht="15">
      <c r="A26" s="404"/>
      <c r="B26" s="631"/>
      <c r="C26" s="633"/>
      <c r="D26" s="435"/>
      <c r="E26" s="616"/>
      <c r="F26" s="435"/>
      <c r="G26" s="633"/>
      <c r="H26" s="435"/>
      <c r="I26" s="616"/>
      <c r="J26" s="435"/>
      <c r="K26" s="615"/>
      <c r="L26" s="1136"/>
      <c r="M26" s="1127"/>
      <c r="N26" s="1127"/>
      <c r="O26" s="1127"/>
      <c r="P26" s="3260"/>
      <c r="Q26" s="1805"/>
      <c r="R26" s="770"/>
      <c r="S26" s="771"/>
      <c r="T26" s="770"/>
      <c r="U26" s="771"/>
      <c r="V26" s="770"/>
      <c r="W26" s="771"/>
      <c r="X26" s="1808"/>
      <c r="Y26" s="3253"/>
      <c r="Z26" s="1809"/>
      <c r="AA26" s="1806">
        <v>1</v>
      </c>
      <c r="AB26" s="1806">
        <v>1</v>
      </c>
      <c r="AC26" s="2668">
        <v>1</v>
      </c>
    </row>
    <row r="27" spans="1:29" ht="15">
      <c r="A27" s="428"/>
      <c r="B27" s="631" t="s">
        <v>2650</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60"/>
      <c r="Q27" s="1805" t="str">
        <f t="shared" ref="Q27:Q47" si="11">B27</f>
        <v>楼层</v>
      </c>
      <c r="R27" s="770" t="s">
        <v>17</v>
      </c>
      <c r="S27" s="771">
        <f>F27</f>
        <v>100</v>
      </c>
      <c r="T27" s="770" t="s">
        <v>17</v>
      </c>
      <c r="U27" s="771">
        <f>H27</f>
        <v>100</v>
      </c>
      <c r="V27" s="770" t="s">
        <v>17</v>
      </c>
      <c r="W27" s="771">
        <f>J27</f>
        <v>100</v>
      </c>
      <c r="X27" s="1808"/>
      <c r="Y27" s="3253"/>
      <c r="Z27" s="1809" t="str">
        <f>Q27</f>
        <v>楼层</v>
      </c>
      <c r="AA27" s="1806">
        <f t="shared" si="3"/>
        <v>1</v>
      </c>
      <c r="AB27" s="1806">
        <f t="shared" si="4"/>
        <v>1</v>
      </c>
      <c r="AC27" s="2668">
        <f t="shared" si="5"/>
        <v>1</v>
      </c>
    </row>
    <row r="28" spans="1:29" s="117" customFormat="1" ht="15">
      <c r="A28" s="431"/>
      <c r="B28" s="630" t="s">
        <v>2683</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60"/>
      <c r="Q28" s="1790" t="str">
        <f t="shared" si="11"/>
        <v>朝向</v>
      </c>
      <c r="R28" s="766" t="s">
        <v>17</v>
      </c>
      <c r="S28" s="767">
        <f>F28</f>
        <v>100</v>
      </c>
      <c r="T28" s="766" t="s">
        <v>17</v>
      </c>
      <c r="U28" s="767">
        <f>H28</f>
        <v>100</v>
      </c>
      <c r="V28" s="766" t="s">
        <v>17</v>
      </c>
      <c r="W28" s="767">
        <f>J28</f>
        <v>100</v>
      </c>
      <c r="X28" s="768"/>
      <c r="Y28" s="3253"/>
      <c r="Z28" s="55" t="str">
        <f>Q28</f>
        <v>朝向</v>
      </c>
      <c r="AA28" s="1806">
        <f>D28/F28</f>
        <v>1</v>
      </c>
      <c r="AB28" s="1806">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60"/>
      <c r="Q29" s="1805">
        <f t="shared" si="11"/>
        <v>111</v>
      </c>
      <c r="R29" s="770" t="s">
        <v>17</v>
      </c>
      <c r="S29" s="771">
        <f t="shared" ref="S29:S47" si="12">F29</f>
        <v>100</v>
      </c>
      <c r="T29" s="770" t="s">
        <v>17</v>
      </c>
      <c r="U29" s="771">
        <f t="shared" ref="U29:U47" si="13">H29</f>
        <v>100</v>
      </c>
      <c r="V29" s="770" t="s">
        <v>17</v>
      </c>
      <c r="W29" s="771">
        <f t="shared" ref="W29:W47" si="14">J29</f>
        <v>100</v>
      </c>
      <c r="X29" s="1808"/>
      <c r="Y29" s="3253"/>
      <c r="Z29" s="1809">
        <f t="shared" ref="Z29:Z47" si="15">Q29</f>
        <v>111</v>
      </c>
      <c r="AA29" s="1806">
        <f t="shared" si="3"/>
        <v>1</v>
      </c>
      <c r="AB29" s="1806">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60"/>
      <c r="Q30" s="1805">
        <f t="shared" si="11"/>
        <v>111</v>
      </c>
      <c r="R30" s="770" t="s">
        <v>17</v>
      </c>
      <c r="S30" s="771">
        <f t="shared" si="12"/>
        <v>100</v>
      </c>
      <c r="T30" s="770" t="s">
        <v>17</v>
      </c>
      <c r="U30" s="771">
        <f t="shared" si="13"/>
        <v>100</v>
      </c>
      <c r="V30" s="770" t="s">
        <v>17</v>
      </c>
      <c r="W30" s="771">
        <f t="shared" si="14"/>
        <v>100</v>
      </c>
      <c r="X30" s="1808"/>
      <c r="Y30" s="3253"/>
      <c r="Z30" s="1809">
        <f t="shared" si="15"/>
        <v>111</v>
      </c>
      <c r="AA30" s="1806">
        <f t="shared" si="3"/>
        <v>1</v>
      </c>
      <c r="AB30" s="1806">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60"/>
      <c r="Q31" s="1805">
        <f t="shared" si="11"/>
        <v>111</v>
      </c>
      <c r="R31" s="770" t="s">
        <v>17</v>
      </c>
      <c r="S31" s="771">
        <f t="shared" si="12"/>
        <v>100</v>
      </c>
      <c r="T31" s="770" t="s">
        <v>17</v>
      </c>
      <c r="U31" s="771">
        <f t="shared" si="13"/>
        <v>100</v>
      </c>
      <c r="V31" s="770" t="s">
        <v>17</v>
      </c>
      <c r="W31" s="771">
        <f t="shared" si="14"/>
        <v>100</v>
      </c>
      <c r="X31" s="1808"/>
      <c r="Y31" s="3253"/>
      <c r="Z31" s="1809">
        <f t="shared" si="15"/>
        <v>111</v>
      </c>
      <c r="AA31" s="1806">
        <f t="shared" si="3"/>
        <v>1</v>
      </c>
      <c r="AB31" s="1806">
        <f t="shared" si="4"/>
        <v>1</v>
      </c>
      <c r="AC31" s="2668">
        <f t="shared" si="5"/>
        <v>1</v>
      </c>
    </row>
    <row r="32" spans="1:29" ht="15.75" thickBot="1">
      <c r="A32" s="436"/>
      <c r="B32" s="634">
        <v>111</v>
      </c>
      <c r="C32" s="2610"/>
      <c r="D32" s="438">
        <v>100</v>
      </c>
      <c r="E32" s="627"/>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60"/>
      <c r="Q32" s="1805">
        <f t="shared" si="11"/>
        <v>111</v>
      </c>
      <c r="R32" s="770" t="s">
        <v>17</v>
      </c>
      <c r="S32" s="771">
        <f t="shared" si="12"/>
        <v>100</v>
      </c>
      <c r="T32" s="770" t="s">
        <v>17</v>
      </c>
      <c r="U32" s="771">
        <f t="shared" si="13"/>
        <v>100</v>
      </c>
      <c r="V32" s="770" t="s">
        <v>17</v>
      </c>
      <c r="W32" s="771">
        <f t="shared" si="14"/>
        <v>100</v>
      </c>
      <c r="X32" s="1808"/>
      <c r="Y32" s="3253"/>
      <c r="Z32" s="1809">
        <f t="shared" si="15"/>
        <v>111</v>
      </c>
      <c r="AA32" s="1806">
        <f t="shared" si="3"/>
        <v>1</v>
      </c>
      <c r="AB32" s="1806">
        <f t="shared" si="4"/>
        <v>1</v>
      </c>
      <c r="AC32" s="2668">
        <f t="shared" si="5"/>
        <v>1</v>
      </c>
    </row>
    <row r="33" spans="1:29" ht="15">
      <c r="A33" s="440" t="s">
        <v>2554</v>
      </c>
      <c r="B33" s="71" t="s">
        <v>2684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54" t="s">
        <v>2556</v>
      </c>
      <c r="Q33" s="1805" t="str">
        <f t="shared" si="11"/>
        <v>建筑类型</v>
      </c>
      <c r="R33" s="770" t="s">
        <v>17</v>
      </c>
      <c r="S33" s="771">
        <f t="shared" si="12"/>
        <v>100</v>
      </c>
      <c r="T33" s="770" t="s">
        <v>17</v>
      </c>
      <c r="U33" s="771">
        <f t="shared" si="13"/>
        <v>100</v>
      </c>
      <c r="V33" s="770" t="s">
        <v>17</v>
      </c>
      <c r="W33" s="771">
        <f t="shared" si="14"/>
        <v>100</v>
      </c>
      <c r="X33" s="1808"/>
      <c r="Y33" s="3257" t="s">
        <v>2556</v>
      </c>
      <c r="Z33" s="1809" t="str">
        <f t="shared" si="15"/>
        <v>建筑类型</v>
      </c>
      <c r="AA33" s="1806">
        <f t="shared" si="3"/>
        <v>1</v>
      </c>
      <c r="AB33" s="1806">
        <f t="shared" si="4"/>
        <v>1</v>
      </c>
      <c r="AC33" s="266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55"/>
      <c r="Q34" s="772" t="str">
        <f t="shared" si="11"/>
        <v>项目建筑规模</v>
      </c>
      <c r="R34" s="773" t="s">
        <v>17</v>
      </c>
      <c r="S34" s="774" t="e">
        <f t="shared" si="12"/>
        <v>#N/A</v>
      </c>
      <c r="T34" s="773" t="s">
        <v>17</v>
      </c>
      <c r="U34" s="774" t="e">
        <f t="shared" si="13"/>
        <v>#N/A</v>
      </c>
      <c r="V34" s="773" t="s">
        <v>17</v>
      </c>
      <c r="W34" s="774" t="e">
        <f t="shared" si="14"/>
        <v>#N/A</v>
      </c>
      <c r="X34" s="775"/>
      <c r="Y34" s="3257"/>
      <c r="Z34" s="776" t="str">
        <f t="shared" si="15"/>
        <v>项目建筑规模</v>
      </c>
      <c r="AA34" s="1806" t="e">
        <f t="shared" si="3"/>
        <v>#N/A</v>
      </c>
      <c r="AB34" s="1806" t="e">
        <f t="shared" si="4"/>
        <v>#N/A</v>
      </c>
      <c r="AC34" s="266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55"/>
      <c r="Q35" s="1805" t="str">
        <f t="shared" si="11"/>
        <v>建筑结构</v>
      </c>
      <c r="R35" s="770" t="s">
        <v>17</v>
      </c>
      <c r="S35" s="771">
        <f t="shared" si="12"/>
        <v>100</v>
      </c>
      <c r="T35" s="770" t="s">
        <v>17</v>
      </c>
      <c r="U35" s="771">
        <f t="shared" si="13"/>
        <v>100</v>
      </c>
      <c r="V35" s="770" t="s">
        <v>17</v>
      </c>
      <c r="W35" s="771">
        <f t="shared" si="14"/>
        <v>100</v>
      </c>
      <c r="X35" s="1808"/>
      <c r="Y35" s="3257"/>
      <c r="Z35" s="1809" t="str">
        <f t="shared" si="15"/>
        <v>建筑结构</v>
      </c>
      <c r="AA35" s="1806">
        <f t="shared" si="3"/>
        <v>1</v>
      </c>
      <c r="AB35" s="1806">
        <f t="shared" si="4"/>
        <v>1</v>
      </c>
      <c r="AC35" s="266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55"/>
      <c r="Q36" s="1805" t="str">
        <f t="shared" si="11"/>
        <v>公共部分装修</v>
      </c>
      <c r="R36" s="770" t="s">
        <v>17</v>
      </c>
      <c r="S36" s="771">
        <f t="shared" si="12"/>
        <v>100</v>
      </c>
      <c r="T36" s="770" t="s">
        <v>17</v>
      </c>
      <c r="U36" s="771">
        <f t="shared" si="13"/>
        <v>100</v>
      </c>
      <c r="V36" s="770" t="s">
        <v>17</v>
      </c>
      <c r="W36" s="771">
        <f t="shared" si="14"/>
        <v>100</v>
      </c>
      <c r="X36" s="1808"/>
      <c r="Y36" s="3257"/>
      <c r="Z36" s="1809" t="str">
        <f t="shared" si="15"/>
        <v>公共部分装修</v>
      </c>
      <c r="AA36" s="1806">
        <f t="shared" si="3"/>
        <v>1</v>
      </c>
      <c r="AB36" s="1806">
        <f t="shared" si="4"/>
        <v>1</v>
      </c>
      <c r="AC36" s="266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55"/>
      <c r="Q37" s="1805" t="str">
        <f t="shared" si="11"/>
        <v>成新度</v>
      </c>
      <c r="R37" s="770" t="s">
        <v>17</v>
      </c>
      <c r="S37" s="771" t="e">
        <f t="shared" si="12"/>
        <v>#N/A</v>
      </c>
      <c r="T37" s="770" t="s">
        <v>17</v>
      </c>
      <c r="U37" s="771" t="e">
        <f t="shared" si="13"/>
        <v>#N/A</v>
      </c>
      <c r="V37" s="770" t="s">
        <v>17</v>
      </c>
      <c r="W37" s="771" t="e">
        <f t="shared" si="14"/>
        <v>#N/A</v>
      </c>
      <c r="X37" s="1808"/>
      <c r="Y37" s="3257"/>
      <c r="Z37" s="1809" t="str">
        <f t="shared" si="15"/>
        <v>成新度</v>
      </c>
      <c r="AA37" s="1806" t="e">
        <f t="shared" si="3"/>
        <v>#N/A</v>
      </c>
      <c r="AB37" s="1806" t="e">
        <f t="shared" si="4"/>
        <v>#N/A</v>
      </c>
      <c r="AC37" s="266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55"/>
      <c r="Q38" s="1790" t="str">
        <f t="shared" si="11"/>
        <v>写字楼等级</v>
      </c>
      <c r="R38" s="766" t="s">
        <v>17</v>
      </c>
      <c r="S38" s="767">
        <f t="shared" si="12"/>
        <v>100</v>
      </c>
      <c r="T38" s="766" t="s">
        <v>17</v>
      </c>
      <c r="U38" s="767">
        <f t="shared" si="13"/>
        <v>100</v>
      </c>
      <c r="V38" s="766" t="s">
        <v>17</v>
      </c>
      <c r="W38" s="767">
        <f t="shared" si="14"/>
        <v>100</v>
      </c>
      <c r="X38" s="768"/>
      <c r="Y38" s="3257"/>
      <c r="Z38" s="55" t="str">
        <f t="shared" si="15"/>
        <v>写字楼等级</v>
      </c>
      <c r="AA38" s="769">
        <f t="shared" si="3"/>
        <v>1</v>
      </c>
      <c r="AB38" s="769">
        <f t="shared" si="4"/>
        <v>1</v>
      </c>
      <c r="AC38" s="266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55" t="s">
        <v>2556</v>
      </c>
      <c r="Q39" s="1805" t="str">
        <f t="shared" si="11"/>
        <v>物业管理</v>
      </c>
      <c r="R39" s="770" t="s">
        <v>17</v>
      </c>
      <c r="S39" s="771">
        <f t="shared" si="12"/>
        <v>100</v>
      </c>
      <c r="T39" s="770" t="s">
        <v>17</v>
      </c>
      <c r="U39" s="771">
        <f t="shared" si="13"/>
        <v>100</v>
      </c>
      <c r="V39" s="770" t="s">
        <v>17</v>
      </c>
      <c r="W39" s="771">
        <f t="shared" si="14"/>
        <v>100</v>
      </c>
      <c r="X39" s="1808"/>
      <c r="Y39" s="3257" t="s">
        <v>2556</v>
      </c>
      <c r="Z39" s="1809" t="str">
        <f t="shared" si="15"/>
        <v>物业管理</v>
      </c>
      <c r="AA39" s="1806">
        <f t="shared" si="3"/>
        <v>1</v>
      </c>
      <c r="AB39" s="1806">
        <f t="shared" si="4"/>
        <v>1</v>
      </c>
      <c r="AC39" s="266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55"/>
      <c r="Q40" s="1805" t="str">
        <f t="shared" si="11"/>
        <v>市政基础设施</v>
      </c>
      <c r="R40" s="770" t="s">
        <v>17</v>
      </c>
      <c r="S40" s="771">
        <f t="shared" si="12"/>
        <v>100</v>
      </c>
      <c r="T40" s="770" t="s">
        <v>17</v>
      </c>
      <c r="U40" s="771">
        <f t="shared" si="13"/>
        <v>100</v>
      </c>
      <c r="V40" s="770" t="s">
        <v>17</v>
      </c>
      <c r="W40" s="771">
        <f t="shared" si="14"/>
        <v>100</v>
      </c>
      <c r="X40" s="1808"/>
      <c r="Y40" s="3257"/>
      <c r="Z40" s="1809" t="str">
        <f t="shared" si="15"/>
        <v>市政基础设施</v>
      </c>
      <c r="AA40" s="1806">
        <f t="shared" si="3"/>
        <v>1</v>
      </c>
      <c r="AB40" s="1806">
        <f t="shared" si="4"/>
        <v>1</v>
      </c>
      <c r="AC40" s="266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55"/>
      <c r="Q41" s="1805" t="str">
        <f t="shared" si="11"/>
        <v>层高</v>
      </c>
      <c r="R41" s="770" t="s">
        <v>17</v>
      </c>
      <c r="S41" s="771">
        <f t="shared" si="12"/>
        <v>100</v>
      </c>
      <c r="T41" s="770" t="s">
        <v>17</v>
      </c>
      <c r="U41" s="771">
        <f t="shared" si="13"/>
        <v>100</v>
      </c>
      <c r="V41" s="770" t="s">
        <v>17</v>
      </c>
      <c r="W41" s="771">
        <f t="shared" si="14"/>
        <v>100</v>
      </c>
      <c r="X41" s="1808"/>
      <c r="Y41" s="3257"/>
      <c r="Z41" s="1809" t="str">
        <f t="shared" si="15"/>
        <v>层高</v>
      </c>
      <c r="AA41" s="1806">
        <f t="shared" si="3"/>
        <v>1</v>
      </c>
      <c r="AB41" s="1806">
        <f t="shared" si="4"/>
        <v>1</v>
      </c>
      <c r="AC41" s="2668">
        <f t="shared" si="5"/>
        <v>1</v>
      </c>
    </row>
    <row r="42" spans="1:29" s="471" customFormat="1" ht="15">
      <c r="A42" s="468"/>
      <c r="B42" s="1807"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55"/>
      <c r="Q42" s="772" t="str">
        <f t="shared" si="11"/>
        <v>单套建筑面积</v>
      </c>
      <c r="R42" s="773" t="s">
        <v>17</v>
      </c>
      <c r="S42" s="774">
        <f t="shared" si="12"/>
        <v>100</v>
      </c>
      <c r="T42" s="773" t="s">
        <v>17</v>
      </c>
      <c r="U42" s="774">
        <f t="shared" si="13"/>
        <v>100</v>
      </c>
      <c r="V42" s="773" t="s">
        <v>17</v>
      </c>
      <c r="W42" s="774">
        <f t="shared" si="14"/>
        <v>100</v>
      </c>
      <c r="X42" s="775"/>
      <c r="Y42" s="3257"/>
      <c r="Z42" s="776" t="str">
        <f t="shared" si="15"/>
        <v>单套建筑面积</v>
      </c>
      <c r="AA42" s="1806">
        <f t="shared" si="3"/>
        <v>1</v>
      </c>
      <c r="AB42" s="1806">
        <f t="shared" si="4"/>
        <v>1</v>
      </c>
      <c r="AC42" s="266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55"/>
      <c r="Q43" s="1805" t="str">
        <f t="shared" si="11"/>
        <v>内部装修</v>
      </c>
      <c r="R43" s="770" t="s">
        <v>17</v>
      </c>
      <c r="S43" s="771">
        <f t="shared" si="12"/>
        <v>100</v>
      </c>
      <c r="T43" s="770" t="s">
        <v>17</v>
      </c>
      <c r="U43" s="771">
        <f t="shared" si="13"/>
        <v>100</v>
      </c>
      <c r="V43" s="770" t="s">
        <v>17</v>
      </c>
      <c r="W43" s="771">
        <f t="shared" si="14"/>
        <v>100</v>
      </c>
      <c r="X43" s="1808"/>
      <c r="Y43" s="3257"/>
      <c r="Z43" s="1809" t="str">
        <f t="shared" si="15"/>
        <v>内部装修</v>
      </c>
      <c r="AA43" s="1806">
        <f t="shared" si="3"/>
        <v>1</v>
      </c>
      <c r="AB43" s="1806">
        <f t="shared" si="4"/>
        <v>1</v>
      </c>
      <c r="AC43" s="2668">
        <f t="shared" si="5"/>
        <v>1</v>
      </c>
    </row>
    <row r="44" spans="1:29" ht="15">
      <c r="A44" s="472"/>
      <c r="B44" s="422" t="s">
        <v>2567</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55"/>
      <c r="Q44" s="1805" t="str">
        <f t="shared" si="11"/>
        <v>内部装修维护情况</v>
      </c>
      <c r="R44" s="770" t="s">
        <v>17</v>
      </c>
      <c r="S44" s="771">
        <f t="shared" si="12"/>
        <v>100</v>
      </c>
      <c r="T44" s="770" t="s">
        <v>17</v>
      </c>
      <c r="U44" s="771">
        <f t="shared" si="13"/>
        <v>100</v>
      </c>
      <c r="V44" s="770" t="s">
        <v>17</v>
      </c>
      <c r="W44" s="771">
        <f t="shared" si="14"/>
        <v>100</v>
      </c>
      <c r="X44" s="1808"/>
      <c r="Y44" s="3257"/>
      <c r="Z44" s="1809" t="str">
        <f t="shared" si="15"/>
        <v>内部装修维护情况</v>
      </c>
      <c r="AA44" s="1806">
        <f t="shared" si="3"/>
        <v>1</v>
      </c>
      <c r="AB44" s="1806">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5"/>
      <c r="Q45" s="1790">
        <f t="shared" si="11"/>
        <v>111</v>
      </c>
      <c r="R45" s="766" t="s">
        <v>17</v>
      </c>
      <c r="S45" s="767">
        <f t="shared" si="12"/>
        <v>100</v>
      </c>
      <c r="T45" s="766" t="s">
        <v>17</v>
      </c>
      <c r="U45" s="767">
        <f t="shared" si="13"/>
        <v>100</v>
      </c>
      <c r="V45" s="766" t="s">
        <v>17</v>
      </c>
      <c r="W45" s="767">
        <f t="shared" si="14"/>
        <v>100</v>
      </c>
      <c r="X45" s="768"/>
      <c r="Y45" s="3257"/>
      <c r="Z45" s="55">
        <f t="shared" si="15"/>
        <v>111</v>
      </c>
      <c r="AA45" s="769">
        <f t="shared" si="3"/>
        <v>1</v>
      </c>
      <c r="AB45" s="769">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5"/>
      <c r="Q46" s="1805">
        <f t="shared" si="11"/>
        <v>111</v>
      </c>
      <c r="R46" s="770" t="s">
        <v>17</v>
      </c>
      <c r="S46" s="771">
        <f t="shared" si="12"/>
        <v>100</v>
      </c>
      <c r="T46" s="770" t="s">
        <v>17</v>
      </c>
      <c r="U46" s="771">
        <f t="shared" si="13"/>
        <v>100</v>
      </c>
      <c r="V46" s="770" t="s">
        <v>17</v>
      </c>
      <c r="W46" s="771">
        <f t="shared" si="14"/>
        <v>100</v>
      </c>
      <c r="X46" s="1808"/>
      <c r="Y46" s="3257"/>
      <c r="Z46" s="1809">
        <f t="shared" si="15"/>
        <v>111</v>
      </c>
      <c r="AA46" s="1806">
        <f t="shared" si="3"/>
        <v>1</v>
      </c>
      <c r="AB46" s="1806">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6"/>
      <c r="Q47" s="1805">
        <f t="shared" si="11"/>
        <v>111</v>
      </c>
      <c r="R47" s="770" t="s">
        <v>17</v>
      </c>
      <c r="S47" s="771">
        <f t="shared" si="12"/>
        <v>100</v>
      </c>
      <c r="T47" s="770" t="s">
        <v>17</v>
      </c>
      <c r="U47" s="771">
        <f t="shared" si="13"/>
        <v>100</v>
      </c>
      <c r="V47" s="770" t="s">
        <v>17</v>
      </c>
      <c r="W47" s="771">
        <f t="shared" si="14"/>
        <v>100</v>
      </c>
      <c r="X47" s="1808"/>
      <c r="Y47" s="3258"/>
      <c r="Z47" s="1809">
        <f t="shared" si="15"/>
        <v>111</v>
      </c>
      <c r="AA47" s="1806">
        <f t="shared" si="3"/>
        <v>1</v>
      </c>
      <c r="AB47" s="1806">
        <f t="shared" si="4"/>
        <v>1</v>
      </c>
      <c r="AC47" s="2668">
        <f t="shared" si="5"/>
        <v>1</v>
      </c>
    </row>
    <row r="48" spans="1:29" ht="15">
      <c r="A48" s="479" t="s">
        <v>2568</v>
      </c>
      <c r="B48" s="480"/>
      <c r="C48" s="1403" t="s">
        <v>1</v>
      </c>
      <c r="D48" s="1404"/>
      <c r="E48" s="1405"/>
      <c r="F48" s="1406"/>
      <c r="G48" s="1407"/>
      <c r="H48" s="1408"/>
      <c r="I48" s="1405"/>
      <c r="J48" s="485"/>
      <c r="K48" s="779"/>
      <c r="L48" s="1139"/>
      <c r="M48" s="1127"/>
      <c r="N48" s="1127"/>
      <c r="O48" s="1127"/>
      <c r="P48" s="3261" t="str">
        <f>A48</f>
        <v>成交单价（元/平方米）</v>
      </c>
      <c r="Q48" s="3250"/>
      <c r="R48" s="3251">
        <f>E48</f>
        <v>0</v>
      </c>
      <c r="S48" s="3251"/>
      <c r="T48" s="3251">
        <f>G48</f>
        <v>0</v>
      </c>
      <c r="U48" s="3251"/>
      <c r="V48" s="3251">
        <f>I48</f>
        <v>0</v>
      </c>
      <c r="W48" s="3251"/>
      <c r="X48" s="446"/>
      <c r="Y48" s="777"/>
      <c r="Z48" s="446"/>
      <c r="AA48" s="446"/>
      <c r="AB48" s="446"/>
      <c r="AC48" s="629"/>
    </row>
    <row r="49" spans="1:29" ht="15.75" thickBot="1">
      <c r="A49" s="486" t="s">
        <v>2660</v>
      </c>
      <c r="B49" s="487"/>
      <c r="C49" s="1409" t="e">
        <f>R50</f>
        <v>#DIV/0!</v>
      </c>
      <c r="D49" s="1410"/>
      <c r="E49" s="1411" t="e">
        <f>R49</f>
        <v>#DIV/0!</v>
      </c>
      <c r="F49" s="1411"/>
      <c r="G49" s="1409" t="e">
        <f>T49</f>
        <v>#DIV/0!</v>
      </c>
      <c r="H49" s="1410"/>
      <c r="I49" s="1411" t="e">
        <f>V49</f>
        <v>#DIV/0!</v>
      </c>
      <c r="J49" s="489"/>
      <c r="K49" s="780"/>
      <c r="L49" s="1139"/>
      <c r="M49" s="1127"/>
      <c r="N49" s="1127"/>
      <c r="O49" s="1127"/>
      <c r="P49" s="3261" t="str">
        <f>A49</f>
        <v>比较价值（元/平方米）</v>
      </c>
      <c r="Q49" s="3250"/>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29"/>
    </row>
    <row r="50" spans="1:29" ht="15.75" thickBot="1">
      <c r="A50" s="492" t="s">
        <v>2661</v>
      </c>
      <c r="B50" s="493"/>
      <c r="C50" s="1413" t="e">
        <f>R50</f>
        <v>#DIV/0!</v>
      </c>
      <c r="D50" s="1413"/>
      <c r="E50" s="1413"/>
      <c r="F50" s="1413"/>
      <c r="G50" s="1413"/>
      <c r="H50" s="1413"/>
      <c r="I50" s="1413"/>
      <c r="J50" s="494"/>
      <c r="K50" s="781"/>
      <c r="L50" s="1139"/>
      <c r="M50" s="1127"/>
      <c r="N50" s="1127"/>
      <c r="O50" s="1127"/>
      <c r="P50" s="3295" t="str">
        <f>A50</f>
        <v>估价对象XX用房的比较价值（楼面单价，元/平方米）</v>
      </c>
      <c r="Q50" s="3296"/>
      <c r="R50" s="3297" t="e">
        <f>IF(F1="售价",ROUND(AVERAGE(R49:V49),0),ROUND(AVERAGE(R49:V49),1))</f>
        <v>#DIV/0!</v>
      </c>
      <c r="S50" s="3297"/>
      <c r="T50" s="3297"/>
      <c r="U50" s="3297"/>
      <c r="V50" s="3297"/>
      <c r="W50" s="3297"/>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2665</v>
      </c>
      <c r="B58" s="755"/>
      <c r="C58" s="760"/>
      <c r="D58" s="760"/>
      <c r="E58" s="760"/>
      <c r="F58" s="761"/>
      <c r="G58" s="761"/>
      <c r="H58" s="760"/>
      <c r="I58" s="760"/>
      <c r="J58" s="760"/>
      <c r="K58" s="762"/>
      <c r="L58" s="1157"/>
      <c r="M58" s="1155"/>
      <c r="N58" s="1155"/>
      <c r="O58" s="1155"/>
      <c r="P58" s="2675"/>
      <c r="Q58" s="504"/>
    </row>
    <row r="59" spans="1:29" s="508" customFormat="1" ht="15">
      <c r="A59" s="505" t="s">
        <v>2539</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2576</v>
      </c>
      <c r="B61" s="516"/>
      <c r="C61" s="517"/>
      <c r="D61" s="518"/>
      <c r="E61" s="518"/>
      <c r="F61" s="518"/>
      <c r="G61" s="518"/>
      <c r="H61" s="518"/>
      <c r="I61" s="518"/>
      <c r="J61" s="518"/>
      <c r="K61" s="518"/>
      <c r="L61" s="518"/>
      <c r="M61" s="519"/>
      <c r="N61" s="518"/>
      <c r="O61" s="519"/>
      <c r="P61" s="2676"/>
      <c r="Q61" s="504"/>
    </row>
    <row r="62" spans="1:29" s="117" customFormat="1" ht="15">
      <c r="A62" s="521" t="s">
        <v>2541</v>
      </c>
      <c r="B62" s="510"/>
      <c r="C62" s="522" t="s">
        <v>2643</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2579</v>
      </c>
      <c r="B64" s="528" t="s">
        <v>2545</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2680</v>
      </c>
      <c r="C83" s="659" t="s">
        <v>2666</v>
      </c>
      <c r="D83" s="659" t="s">
        <v>2667</v>
      </c>
      <c r="E83" s="659" t="s">
        <v>2668</v>
      </c>
      <c r="F83" s="659" t="s">
        <v>2669</v>
      </c>
      <c r="G83" s="659" t="s">
        <v>2670</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2690</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2554</v>
      </c>
      <c r="B101" s="528" t="s">
        <v>2603</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2605</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2607</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2691</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2608</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2609</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5" t="s">
        <v>2692</v>
      </c>
      <c r="C119" s="583"/>
      <c r="D119" s="583"/>
      <c r="E119" s="583"/>
      <c r="F119" s="583"/>
      <c r="G119" s="583"/>
      <c r="H119" s="583"/>
      <c r="I119" s="583"/>
      <c r="J119" s="583"/>
      <c r="K119" s="583"/>
      <c r="L119" s="2683"/>
      <c r="M119" s="2684"/>
      <c r="N119" s="1149"/>
      <c r="O119" s="1149"/>
      <c r="P119" s="2685"/>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2675</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2611</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2519</v>
      </c>
      <c r="B1" s="2663" t="s">
        <v>2693</v>
      </c>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IF(C2="——",ROUND(C43*D3/10000,0),ROUND(C43*D3/10000,0)-D2)</f>
        <v>#DIV/0!</v>
      </c>
      <c r="C2" s="2580"/>
      <c r="D2" s="1120" t="e">
        <f ca="1">SUMIF(INDIRECT("'"&amp;F2&amp;"'"&amp;"!A:A"),"承租人权益价值",INDIRECT("'"&amp;F2&amp;"'"&amp;"!c:c"))</f>
        <v>#REF!</v>
      </c>
      <c r="E2" s="2581" t="s">
        <v>2319</v>
      </c>
      <c r="F2" s="2582"/>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2320</v>
      </c>
      <c r="B3" s="609" t="e">
        <f ca="1">IF(C2="——",C43,ROUND(B2*10000/D3,0))</f>
        <v>#DIV/0!</v>
      </c>
      <c r="C3" s="400" t="s">
        <v>2635</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63" t="s">
        <v>2639</v>
      </c>
      <c r="AC4" s="3262" t="s">
        <v>2640</v>
      </c>
    </row>
    <row r="5" spans="1:29" ht="15">
      <c r="A5" s="404"/>
      <c r="B5" s="405"/>
      <c r="C5" s="3284" t="s">
        <v>2533</v>
      </c>
      <c r="D5" s="3285"/>
      <c r="E5" s="3291" t="s">
        <v>2534</v>
      </c>
      <c r="F5" s="3292"/>
      <c r="G5" s="3284" t="s">
        <v>2535</v>
      </c>
      <c r="H5" s="3285"/>
      <c r="I5" s="3284" t="s">
        <v>2536</v>
      </c>
      <c r="J5" s="3285"/>
      <c r="K5" s="610"/>
      <c r="L5" s="1126"/>
      <c r="M5" s="1127"/>
      <c r="N5" s="1127"/>
      <c r="O5" s="1127"/>
      <c r="P5" s="3271"/>
      <c r="Q5" s="3272"/>
      <c r="R5" s="3277"/>
      <c r="S5" s="3278"/>
      <c r="T5" s="3277"/>
      <c r="U5" s="3278"/>
      <c r="V5" s="3281"/>
      <c r="W5" s="3281"/>
      <c r="X5" s="1808"/>
      <c r="Y5" s="3277"/>
      <c r="Z5" s="3278"/>
      <c r="AA5" s="3263"/>
      <c r="AB5" s="3263"/>
      <c r="AC5" s="3263"/>
    </row>
    <row r="6" spans="1:29" ht="15.75" thickBot="1">
      <c r="A6" s="406"/>
      <c r="B6" s="407"/>
      <c r="C6" s="3282" t="s">
        <v>2537</v>
      </c>
      <c r="D6" s="3283"/>
      <c r="E6" s="3289" t="s">
        <v>2537</v>
      </c>
      <c r="F6" s="3290"/>
      <c r="G6" s="3282" t="s">
        <v>2537</v>
      </c>
      <c r="H6" s="3283"/>
      <c r="I6" s="3282" t="s">
        <v>2537</v>
      </c>
      <c r="J6" s="3283"/>
      <c r="K6" s="610" t="s">
        <v>2538</v>
      </c>
      <c r="L6" s="1126"/>
      <c r="M6" s="1127"/>
      <c r="N6" s="1127"/>
      <c r="O6" s="1127"/>
      <c r="P6" s="3273"/>
      <c r="Q6" s="3274"/>
      <c r="R6" s="3277"/>
      <c r="S6" s="3278"/>
      <c r="T6" s="3279"/>
      <c r="U6" s="3280"/>
      <c r="V6" s="3281"/>
      <c r="W6" s="3281"/>
      <c r="X6" s="1808"/>
      <c r="Y6" s="3279"/>
      <c r="Z6" s="3280"/>
      <c r="AA6" s="3264"/>
      <c r="AB6" s="3264"/>
      <c r="AC6" s="3264"/>
    </row>
    <row r="7" spans="1:29" s="117" customFormat="1" ht="15.75" thickBot="1">
      <c r="A7" s="408" t="s">
        <v>2539</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86" t="s">
        <v>2540</v>
      </c>
      <c r="Q7" s="3288"/>
      <c r="R7" s="766" t="s">
        <v>17</v>
      </c>
      <c r="S7" s="767">
        <f t="shared" ref="S7:S15" si="0">F7</f>
        <v>0</v>
      </c>
      <c r="T7" s="766" t="s">
        <v>17</v>
      </c>
      <c r="U7" s="767">
        <f t="shared" ref="U7:U15" si="1">H7</f>
        <v>0</v>
      </c>
      <c r="V7" s="766" t="s">
        <v>17</v>
      </c>
      <c r="W7" s="767">
        <f t="shared" ref="W7:W15" si="2">J7</f>
        <v>0</v>
      </c>
      <c r="X7" s="768"/>
      <c r="Y7" s="3286" t="s">
        <v>2540</v>
      </c>
      <c r="Z7" s="3287"/>
      <c r="AA7" s="769" t="e">
        <f>D7/F7</f>
        <v>#DIV/0!</v>
      </c>
      <c r="AB7" s="769" t="e">
        <f>D7/H7</f>
        <v>#DIV/0!</v>
      </c>
      <c r="AC7" s="769"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86" t="s">
        <v>2543</v>
      </c>
      <c r="Q8" s="3287"/>
      <c r="R8" s="766" t="s">
        <v>17</v>
      </c>
      <c r="S8" s="767">
        <f t="shared" si="0"/>
        <v>0</v>
      </c>
      <c r="T8" s="766" t="s">
        <v>17</v>
      </c>
      <c r="U8" s="767">
        <f t="shared" si="1"/>
        <v>0</v>
      </c>
      <c r="V8" s="766" t="s">
        <v>17</v>
      </c>
      <c r="W8" s="767">
        <f t="shared" si="2"/>
        <v>0</v>
      </c>
      <c r="X8" s="768"/>
      <c r="Y8" s="3286" t="s">
        <v>2543</v>
      </c>
      <c r="Z8" s="3287"/>
      <c r="AA8" s="769" t="e">
        <f t="shared" ref="AA8:AA40" si="3">D8/F8</f>
        <v>#DIV/0!</v>
      </c>
      <c r="AB8" s="769" t="e">
        <f t="shared" ref="AB8:AB40" si="4">D8/H8</f>
        <v>#DIV/0!</v>
      </c>
      <c r="AC8" s="769"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50"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769">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50"/>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769">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50"/>
      <c r="Q11" s="1790" t="str">
        <f t="shared" si="6"/>
        <v>容积率</v>
      </c>
      <c r="R11" s="766" t="s">
        <v>17</v>
      </c>
      <c r="S11" s="767" t="e">
        <f t="shared" si="0"/>
        <v>#N/A</v>
      </c>
      <c r="T11" s="766" t="s">
        <v>17</v>
      </c>
      <c r="U11" s="767" t="e">
        <f t="shared" si="1"/>
        <v>#N/A</v>
      </c>
      <c r="V11" s="766" t="s">
        <v>17</v>
      </c>
      <c r="W11" s="767" t="e">
        <f t="shared" si="2"/>
        <v>#N/A</v>
      </c>
      <c r="X11" s="768"/>
      <c r="Y11" s="3081"/>
      <c r="Z11" s="55" t="str">
        <f t="shared" si="7"/>
        <v>容积率</v>
      </c>
      <c r="AA11" s="769" t="e">
        <f t="shared" si="3"/>
        <v>#N/A</v>
      </c>
      <c r="AB11" s="769" t="e">
        <f t="shared" si="4"/>
        <v>#N/A</v>
      </c>
      <c r="AC11" s="769"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250"/>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769">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250"/>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769">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250"/>
      <c r="Q14" s="1790">
        <f t="shared" si="6"/>
        <v>111</v>
      </c>
      <c r="R14" s="766" t="s">
        <v>17</v>
      </c>
      <c r="S14" s="767">
        <f t="shared" si="0"/>
        <v>100</v>
      </c>
      <c r="T14" s="766" t="s">
        <v>17</v>
      </c>
      <c r="U14" s="767">
        <f t="shared" si="1"/>
        <v>100</v>
      </c>
      <c r="V14" s="766" t="s">
        <v>17</v>
      </c>
      <c r="W14" s="767">
        <f t="shared" si="2"/>
        <v>100</v>
      </c>
      <c r="X14" s="768"/>
      <c r="Y14" s="3081"/>
      <c r="Z14" s="55">
        <f t="shared" si="7"/>
        <v>111</v>
      </c>
      <c r="AA14" s="769">
        <f t="shared" si="3"/>
        <v>1</v>
      </c>
      <c r="AB14" s="769">
        <f t="shared" si="4"/>
        <v>1</v>
      </c>
      <c r="AC14" s="769">
        <f t="shared" si="5"/>
        <v>1</v>
      </c>
    </row>
    <row r="15" spans="1:29" ht="57">
      <c r="A15" s="440" t="s">
        <v>2550</v>
      </c>
      <c r="B15" s="69" t="s">
        <v>2694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52" t="s">
        <v>2551</v>
      </c>
      <c r="Q15" s="1805" t="str">
        <f t="shared" si="6"/>
        <v>产业集聚程度</v>
      </c>
      <c r="R15" s="770" t="s">
        <v>17</v>
      </c>
      <c r="S15" s="771">
        <f t="shared" si="0"/>
        <v>100</v>
      </c>
      <c r="T15" s="770" t="s">
        <v>17</v>
      </c>
      <c r="U15" s="771">
        <f t="shared" si="1"/>
        <v>100</v>
      </c>
      <c r="V15" s="770" t="s">
        <v>17</v>
      </c>
      <c r="W15" s="771">
        <f t="shared" si="2"/>
        <v>100</v>
      </c>
      <c r="X15" s="1808"/>
      <c r="Y15" s="3252" t="s">
        <v>2551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53"/>
      <c r="Q16" s="1805"/>
      <c r="R16" s="770"/>
      <c r="S16" s="771"/>
      <c r="T16" s="770"/>
      <c r="U16" s="771"/>
      <c r="V16" s="770"/>
      <c r="W16" s="771"/>
      <c r="X16" s="1808"/>
      <c r="Y16" s="3253"/>
      <c r="Z16" s="1809"/>
      <c r="AA16" s="1806">
        <v>1</v>
      </c>
      <c r="AB16" s="1806">
        <v>1</v>
      </c>
      <c r="AC16" s="1806">
        <v>1</v>
      </c>
    </row>
    <row r="17" spans="1:29" ht="85.5">
      <c r="A17" s="428"/>
      <c r="B17" s="451" t="s">
        <v>2090</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3"/>
      <c r="Q17" s="1805" t="str">
        <f>B17</f>
        <v>交通便捷度</v>
      </c>
      <c r="R17" s="770" t="s">
        <v>17</v>
      </c>
      <c r="S17" s="771">
        <f>F17</f>
        <v>100</v>
      </c>
      <c r="T17" s="770" t="s">
        <v>17</v>
      </c>
      <c r="U17" s="771">
        <f>H17</f>
        <v>100</v>
      </c>
      <c r="V17" s="770" t="s">
        <v>17</v>
      </c>
      <c r="W17" s="771">
        <f>J17</f>
        <v>100</v>
      </c>
      <c r="X17" s="1808"/>
      <c r="Y17" s="3253"/>
      <c r="Z17" s="1809" t="str">
        <f>Q17</f>
        <v>交通便捷度</v>
      </c>
      <c r="AA17" s="1806">
        <f t="shared" si="3"/>
        <v>1</v>
      </c>
      <c r="AB17" s="1806">
        <f t="shared" si="4"/>
        <v>1</v>
      </c>
      <c r="AC17" s="1806">
        <f t="shared" si="5"/>
        <v>1</v>
      </c>
    </row>
    <row r="18" spans="1:29" ht="15">
      <c r="A18" s="428"/>
      <c r="B18" s="456"/>
      <c r="C18" s="2602"/>
      <c r="D18" s="450"/>
      <c r="E18" s="2604"/>
      <c r="F18" s="453"/>
      <c r="G18" s="2603"/>
      <c r="H18" s="448"/>
      <c r="I18" s="2604"/>
      <c r="J18" s="448"/>
      <c r="K18" s="615"/>
      <c r="L18" s="1136"/>
      <c r="M18" s="1127"/>
      <c r="N18" s="1127"/>
      <c r="O18" s="1135"/>
      <c r="P18" s="3253"/>
      <c r="Q18" s="1805"/>
      <c r="R18" s="770"/>
      <c r="S18" s="771"/>
      <c r="T18" s="770"/>
      <c r="U18" s="771"/>
      <c r="V18" s="770"/>
      <c r="W18" s="771"/>
      <c r="X18" s="1808"/>
      <c r="Y18" s="3253"/>
      <c r="Z18" s="1809"/>
      <c r="AA18" s="1806">
        <v>1</v>
      </c>
      <c r="AB18" s="1806">
        <v>1</v>
      </c>
      <c r="AC18" s="1806">
        <v>1</v>
      </c>
    </row>
    <row r="19" spans="1:29" ht="42.75">
      <c r="A19" s="428"/>
      <c r="B19" s="451" t="s">
        <v>2679</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3"/>
      <c r="Q19" s="1805" t="str">
        <f>B19</f>
        <v>公共配套设施</v>
      </c>
      <c r="R19" s="770" t="s">
        <v>17</v>
      </c>
      <c r="S19" s="771">
        <f>F19</f>
        <v>100</v>
      </c>
      <c r="T19" s="770" t="s">
        <v>17</v>
      </c>
      <c r="U19" s="771">
        <f>H19</f>
        <v>100</v>
      </c>
      <c r="V19" s="770" t="s">
        <v>17</v>
      </c>
      <c r="W19" s="771">
        <f>J19</f>
        <v>100</v>
      </c>
      <c r="X19" s="1808"/>
      <c r="Y19" s="3253"/>
      <c r="Z19" s="1809" t="str">
        <f>Q19</f>
        <v>公共配套设施</v>
      </c>
      <c r="AA19" s="1806">
        <f t="shared" si="3"/>
        <v>1</v>
      </c>
      <c r="AB19" s="1806">
        <f t="shared" si="4"/>
        <v>1</v>
      </c>
      <c r="AC19" s="1806">
        <f t="shared" si="5"/>
        <v>1</v>
      </c>
    </row>
    <row r="20" spans="1:29" ht="15">
      <c r="A20" s="428"/>
      <c r="B20" s="456"/>
      <c r="C20" s="447"/>
      <c r="D20" s="448"/>
      <c r="E20" s="2599"/>
      <c r="F20" s="449"/>
      <c r="G20" s="2598"/>
      <c r="H20" s="448"/>
      <c r="I20" s="2599"/>
      <c r="J20" s="448"/>
      <c r="K20" s="615"/>
      <c r="L20" s="1136"/>
      <c r="M20" s="1127"/>
      <c r="N20" s="1127"/>
      <c r="O20" s="1135"/>
      <c r="P20" s="3253"/>
      <c r="Q20" s="1805"/>
      <c r="R20" s="770"/>
      <c r="S20" s="771"/>
      <c r="T20" s="770"/>
      <c r="U20" s="771"/>
      <c r="V20" s="770"/>
      <c r="W20" s="771"/>
      <c r="X20" s="1808"/>
      <c r="Y20" s="3253"/>
      <c r="Z20" s="1809"/>
      <c r="AA20" s="1806">
        <v>1</v>
      </c>
      <c r="AB20" s="1806">
        <v>1</v>
      </c>
      <c r="AC20" s="1806">
        <v>1</v>
      </c>
    </row>
    <row r="21" spans="1:29" ht="28.5">
      <c r="A21" s="428"/>
      <c r="B21" s="1380" t="s">
        <v>2680</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3"/>
      <c r="Q21" s="1805" t="str">
        <f>B21</f>
        <v>基础设施水平</v>
      </c>
      <c r="R21" s="770" t="s">
        <v>17</v>
      </c>
      <c r="S21" s="771">
        <f>F21</f>
        <v>100</v>
      </c>
      <c r="T21" s="770" t="s">
        <v>17</v>
      </c>
      <c r="U21" s="771">
        <f>H21</f>
        <v>100</v>
      </c>
      <c r="V21" s="770" t="s">
        <v>17</v>
      </c>
      <c r="W21" s="771">
        <f>J21</f>
        <v>100</v>
      </c>
      <c r="X21" s="1808"/>
      <c r="Y21" s="3253"/>
      <c r="Z21" s="1809" t="str">
        <f>Q21</f>
        <v>基础设施水平</v>
      </c>
      <c r="AA21" s="1806">
        <f t="shared" ref="AA21" si="8">D21/F21</f>
        <v>1</v>
      </c>
      <c r="AB21" s="1806">
        <f t="shared" ref="AB21" si="9">D21/H21</f>
        <v>1</v>
      </c>
      <c r="AC21" s="1806">
        <f t="shared" ref="AC21" si="10">D21/J21</f>
        <v>1</v>
      </c>
    </row>
    <row r="22" spans="1:29" ht="15">
      <c r="A22" s="428"/>
      <c r="B22" s="1380"/>
      <c r="C22" s="2602"/>
      <c r="D22" s="448"/>
      <c r="E22" s="447"/>
      <c r="F22" s="449"/>
      <c r="G22" s="447"/>
      <c r="H22" s="448"/>
      <c r="I22" s="447"/>
      <c r="J22" s="448"/>
      <c r="K22" s="1379"/>
      <c r="L22" s="1136"/>
      <c r="M22" s="1127"/>
      <c r="N22" s="1127"/>
      <c r="O22" s="1135"/>
      <c r="P22" s="3253"/>
      <c r="Q22" s="1805"/>
      <c r="R22" s="770"/>
      <c r="S22" s="771"/>
      <c r="T22" s="770"/>
      <c r="U22" s="771"/>
      <c r="V22" s="770"/>
      <c r="W22" s="771"/>
      <c r="X22" s="1808"/>
      <c r="Y22" s="3253"/>
      <c r="Z22" s="1809"/>
      <c r="AA22" s="1806">
        <v>1</v>
      </c>
      <c r="AB22" s="1806">
        <v>1</v>
      </c>
      <c r="AC22" s="1806">
        <v>1</v>
      </c>
    </row>
    <row r="23" spans="1:29" ht="71.25">
      <c r="A23" s="428"/>
      <c r="B23" s="451" t="s">
        <v>2681</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3"/>
      <c r="Q23" s="1805" t="str">
        <f>B23</f>
        <v>环境质量</v>
      </c>
      <c r="R23" s="770" t="s">
        <v>17</v>
      </c>
      <c r="S23" s="771">
        <f>F23</f>
        <v>100</v>
      </c>
      <c r="T23" s="770" t="s">
        <v>17</v>
      </c>
      <c r="U23" s="771">
        <f>H23</f>
        <v>100</v>
      </c>
      <c r="V23" s="770" t="s">
        <v>17</v>
      </c>
      <c r="W23" s="771">
        <f>J23</f>
        <v>100</v>
      </c>
      <c r="X23" s="1808"/>
      <c r="Y23" s="3253"/>
      <c r="Z23" s="1809" t="str">
        <f>Q23</f>
        <v>环境质量</v>
      </c>
      <c r="AA23" s="1806">
        <f t="shared" si="3"/>
        <v>1</v>
      </c>
      <c r="AB23" s="1806">
        <f t="shared" si="4"/>
        <v>1</v>
      </c>
      <c r="AC23" s="1806">
        <f t="shared" si="5"/>
        <v>1</v>
      </c>
    </row>
    <row r="24" spans="1:29" ht="15">
      <c r="A24" s="428"/>
      <c r="B24" s="1380"/>
      <c r="C24" s="447"/>
      <c r="D24" s="448"/>
      <c r="E24" s="2599"/>
      <c r="F24" s="449"/>
      <c r="G24" s="2598"/>
      <c r="H24" s="448"/>
      <c r="I24" s="2599"/>
      <c r="J24" s="448"/>
      <c r="K24" s="615"/>
      <c r="L24" s="1136"/>
      <c r="M24" s="1127"/>
      <c r="N24" s="1127"/>
      <c r="O24" s="1135"/>
      <c r="P24" s="3253"/>
      <c r="Q24" s="1805"/>
      <c r="R24" s="770"/>
      <c r="S24" s="771"/>
      <c r="T24" s="770"/>
      <c r="U24" s="771"/>
      <c r="V24" s="770"/>
      <c r="W24" s="771"/>
      <c r="X24" s="1808"/>
      <c r="Y24" s="3253"/>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3"/>
      <c r="Q25" s="1805">
        <f>B25</f>
        <v>111</v>
      </c>
      <c r="R25" s="770" t="s">
        <v>17</v>
      </c>
      <c r="S25" s="771">
        <f>F25</f>
        <v>100</v>
      </c>
      <c r="T25" s="770" t="s">
        <v>17</v>
      </c>
      <c r="U25" s="771">
        <f>H25</f>
        <v>100</v>
      </c>
      <c r="V25" s="770" t="s">
        <v>17</v>
      </c>
      <c r="W25" s="771">
        <f>J25</f>
        <v>100</v>
      </c>
      <c r="X25" s="1808"/>
      <c r="Y25" s="3253"/>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3"/>
      <c r="Q26" s="1805">
        <f t="shared" ref="Q26:Q40" si="11">B26</f>
        <v>111</v>
      </c>
      <c r="R26" s="770" t="s">
        <v>17</v>
      </c>
      <c r="S26" s="771">
        <f>F26</f>
        <v>100</v>
      </c>
      <c r="T26" s="770" t="s">
        <v>17</v>
      </c>
      <c r="U26" s="771">
        <f>H26</f>
        <v>100</v>
      </c>
      <c r="V26" s="770" t="s">
        <v>17</v>
      </c>
      <c r="W26" s="771">
        <f>J26</f>
        <v>100</v>
      </c>
      <c r="X26" s="1808"/>
      <c r="Y26" s="3253"/>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3"/>
      <c r="Q27" s="1790">
        <f t="shared" si="11"/>
        <v>111</v>
      </c>
      <c r="R27" s="766" t="s">
        <v>17</v>
      </c>
      <c r="S27" s="767">
        <f>F27</f>
        <v>100</v>
      </c>
      <c r="T27" s="766" t="s">
        <v>17</v>
      </c>
      <c r="U27" s="767">
        <f>H27</f>
        <v>100</v>
      </c>
      <c r="V27" s="766" t="s">
        <v>17</v>
      </c>
      <c r="W27" s="767">
        <f>J27</f>
        <v>100</v>
      </c>
      <c r="X27" s="768"/>
      <c r="Y27" s="3253"/>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3"/>
      <c r="Q28" s="1805">
        <f t="shared" si="11"/>
        <v>111</v>
      </c>
      <c r="R28" s="770" t="s">
        <v>17</v>
      </c>
      <c r="S28" s="771">
        <f t="shared" ref="S28:S40" si="12">F28</f>
        <v>100</v>
      </c>
      <c r="T28" s="770" t="s">
        <v>17</v>
      </c>
      <c r="U28" s="771">
        <f t="shared" ref="U28:U40" si="13">H28</f>
        <v>100</v>
      </c>
      <c r="V28" s="770" t="s">
        <v>17</v>
      </c>
      <c r="W28" s="771">
        <f t="shared" ref="W28:W40" si="14">J28</f>
        <v>100</v>
      </c>
      <c r="X28" s="1808"/>
      <c r="Y28" s="3253"/>
      <c r="Z28" s="1809">
        <f t="shared" ref="Z28:Z40" si="15">Q28</f>
        <v>111</v>
      </c>
      <c r="AA28" s="1806">
        <f t="shared" si="3"/>
        <v>1</v>
      </c>
      <c r="AB28" s="1806">
        <f t="shared" si="4"/>
        <v>1</v>
      </c>
      <c r="AC28" s="1806">
        <f t="shared" si="5"/>
        <v>1</v>
      </c>
    </row>
    <row r="29" spans="1:29" ht="28.5">
      <c r="A29" s="466" t="s">
        <v>2554</v>
      </c>
      <c r="B29" s="71" t="s">
        <v>2684</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310" t="s">
        <v>2556</v>
      </c>
      <c r="Q29" s="1805" t="str">
        <f t="shared" si="11"/>
        <v>建筑类型</v>
      </c>
      <c r="R29" s="770" t="s">
        <v>17</v>
      </c>
      <c r="S29" s="771">
        <f t="shared" si="12"/>
        <v>100</v>
      </c>
      <c r="T29" s="770" t="s">
        <v>17</v>
      </c>
      <c r="U29" s="771">
        <f t="shared" si="13"/>
        <v>100</v>
      </c>
      <c r="V29" s="770" t="s">
        <v>17</v>
      </c>
      <c r="W29" s="771">
        <f t="shared" si="14"/>
        <v>100</v>
      </c>
      <c r="X29" s="1808"/>
      <c r="Y29" s="3257" t="s">
        <v>2556</v>
      </c>
      <c r="Z29" s="1809" t="str">
        <f t="shared" si="15"/>
        <v>建筑类型</v>
      </c>
      <c r="AA29" s="1806">
        <f t="shared" si="3"/>
        <v>1</v>
      </c>
      <c r="AB29" s="1806">
        <f t="shared" si="4"/>
        <v>1</v>
      </c>
      <c r="AC29" s="1806">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7"/>
      <c r="Q30" s="772" t="str">
        <f t="shared" si="11"/>
        <v>项目建筑规模</v>
      </c>
      <c r="R30" s="773" t="s">
        <v>17</v>
      </c>
      <c r="S30" s="774" t="e">
        <f t="shared" si="12"/>
        <v>#N/A</v>
      </c>
      <c r="T30" s="773" t="s">
        <v>17</v>
      </c>
      <c r="U30" s="774" t="e">
        <f t="shared" si="13"/>
        <v>#N/A</v>
      </c>
      <c r="V30" s="773" t="s">
        <v>17</v>
      </c>
      <c r="W30" s="774" t="e">
        <f t="shared" si="14"/>
        <v>#N/A</v>
      </c>
      <c r="X30" s="775"/>
      <c r="Y30" s="3257"/>
      <c r="Z30" s="776" t="str">
        <f t="shared" si="15"/>
        <v>项目建筑规模</v>
      </c>
      <c r="AA30" s="1806" t="e">
        <f t="shared" si="3"/>
        <v>#N/A</v>
      </c>
      <c r="AB30" s="1806" t="e">
        <f t="shared" si="4"/>
        <v>#N/A</v>
      </c>
      <c r="AC30" s="1806"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7"/>
      <c r="Q31" s="1805" t="str">
        <f t="shared" si="11"/>
        <v>建筑结构</v>
      </c>
      <c r="R31" s="770" t="s">
        <v>17</v>
      </c>
      <c r="S31" s="771">
        <f t="shared" si="12"/>
        <v>100</v>
      </c>
      <c r="T31" s="770" t="s">
        <v>17</v>
      </c>
      <c r="U31" s="771">
        <f t="shared" si="13"/>
        <v>100</v>
      </c>
      <c r="V31" s="770" t="s">
        <v>17</v>
      </c>
      <c r="W31" s="771">
        <f t="shared" si="14"/>
        <v>100</v>
      </c>
      <c r="X31" s="1808"/>
      <c r="Y31" s="3257"/>
      <c r="Z31" s="1809" t="str">
        <f t="shared" si="15"/>
        <v>建筑结构</v>
      </c>
      <c r="AA31" s="1806">
        <f t="shared" si="3"/>
        <v>1</v>
      </c>
      <c r="AB31" s="1806">
        <f t="shared" si="4"/>
        <v>1</v>
      </c>
      <c r="AC31" s="1806">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7"/>
      <c r="Q32" s="1805" t="str">
        <f t="shared" si="11"/>
        <v>公共部分装修</v>
      </c>
      <c r="R32" s="770" t="s">
        <v>17</v>
      </c>
      <c r="S32" s="771">
        <f t="shared" si="12"/>
        <v>100</v>
      </c>
      <c r="T32" s="770" t="s">
        <v>17</v>
      </c>
      <c r="U32" s="771">
        <f t="shared" si="13"/>
        <v>100</v>
      </c>
      <c r="V32" s="770" t="s">
        <v>17</v>
      </c>
      <c r="W32" s="771">
        <f t="shared" si="14"/>
        <v>100</v>
      </c>
      <c r="X32" s="1808"/>
      <c r="Y32" s="3257"/>
      <c r="Z32" s="1809" t="str">
        <f t="shared" si="15"/>
        <v>公共部分装修</v>
      </c>
      <c r="AA32" s="1806">
        <f t="shared" si="3"/>
        <v>1</v>
      </c>
      <c r="AB32" s="1806">
        <f t="shared" si="4"/>
        <v>1</v>
      </c>
      <c r="AC32" s="1806">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7"/>
      <c r="Q33" s="1805" t="str">
        <f t="shared" si="11"/>
        <v>成新度</v>
      </c>
      <c r="R33" s="770" t="s">
        <v>17</v>
      </c>
      <c r="S33" s="771" t="e">
        <f t="shared" si="12"/>
        <v>#N/A</v>
      </c>
      <c r="T33" s="770" t="s">
        <v>17</v>
      </c>
      <c r="U33" s="771" t="e">
        <f t="shared" si="13"/>
        <v>#N/A</v>
      </c>
      <c r="V33" s="770" t="s">
        <v>17</v>
      </c>
      <c r="W33" s="771" t="e">
        <f t="shared" si="14"/>
        <v>#N/A</v>
      </c>
      <c r="X33" s="1808"/>
      <c r="Y33" s="3257"/>
      <c r="Z33" s="1809" t="str">
        <f t="shared" si="15"/>
        <v>成新度</v>
      </c>
      <c r="AA33" s="1806" t="e">
        <f t="shared" si="3"/>
        <v>#N/A</v>
      </c>
      <c r="AB33" s="1806" t="e">
        <f t="shared" si="4"/>
        <v>#N/A</v>
      </c>
      <c r="AC33" s="1806"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7"/>
      <c r="Q34" s="1790" t="str">
        <f t="shared" si="11"/>
        <v>物业管理</v>
      </c>
      <c r="R34" s="766" t="s">
        <v>17</v>
      </c>
      <c r="S34" s="767">
        <f t="shared" si="12"/>
        <v>100</v>
      </c>
      <c r="T34" s="766" t="s">
        <v>17</v>
      </c>
      <c r="U34" s="767">
        <f t="shared" si="13"/>
        <v>100</v>
      </c>
      <c r="V34" s="766" t="s">
        <v>17</v>
      </c>
      <c r="W34" s="767">
        <f t="shared" si="14"/>
        <v>100</v>
      </c>
      <c r="X34" s="768"/>
      <c r="Y34" s="3257"/>
      <c r="Z34" s="55" t="str">
        <f t="shared" si="15"/>
        <v>物业管理</v>
      </c>
      <c r="AA34" s="769">
        <f t="shared" si="3"/>
        <v>1</v>
      </c>
      <c r="AB34" s="769">
        <f t="shared" si="4"/>
        <v>1</v>
      </c>
      <c r="AC34" s="769">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7" t="s">
        <v>2556</v>
      </c>
      <c r="Q35" s="1805" t="str">
        <f t="shared" si="11"/>
        <v>市政基础设施</v>
      </c>
      <c r="R35" s="770" t="s">
        <v>17</v>
      </c>
      <c r="S35" s="771">
        <f t="shared" si="12"/>
        <v>100</v>
      </c>
      <c r="T35" s="770" t="s">
        <v>17</v>
      </c>
      <c r="U35" s="771">
        <f t="shared" si="13"/>
        <v>100</v>
      </c>
      <c r="V35" s="770" t="s">
        <v>17</v>
      </c>
      <c r="W35" s="771">
        <f t="shared" si="14"/>
        <v>100</v>
      </c>
      <c r="X35" s="1808"/>
      <c r="Y35" s="3257" t="s">
        <v>2556</v>
      </c>
      <c r="Z35" s="1809" t="str">
        <f t="shared" si="15"/>
        <v>市政基础设施</v>
      </c>
      <c r="AA35" s="1806">
        <f t="shared" si="3"/>
        <v>1</v>
      </c>
      <c r="AB35" s="1806">
        <f t="shared" si="4"/>
        <v>1</v>
      </c>
      <c r="AC35" s="1806">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7"/>
      <c r="Q36" s="1805" t="str">
        <f t="shared" si="11"/>
        <v>内部装修</v>
      </c>
      <c r="R36" s="770" t="s">
        <v>17</v>
      </c>
      <c r="S36" s="771">
        <f t="shared" si="12"/>
        <v>100</v>
      </c>
      <c r="T36" s="770" t="s">
        <v>17</v>
      </c>
      <c r="U36" s="771">
        <f t="shared" si="13"/>
        <v>100</v>
      </c>
      <c r="V36" s="770" t="s">
        <v>17</v>
      </c>
      <c r="W36" s="771">
        <f t="shared" si="14"/>
        <v>100</v>
      </c>
      <c r="X36" s="1808"/>
      <c r="Y36" s="3257"/>
      <c r="Z36" s="1809" t="str">
        <f t="shared" si="15"/>
        <v>内部装修</v>
      </c>
      <c r="AA36" s="1806">
        <f t="shared" si="3"/>
        <v>1</v>
      </c>
      <c r="AB36" s="1806">
        <f t="shared" si="4"/>
        <v>1</v>
      </c>
      <c r="AC36" s="1806">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7"/>
      <c r="Q37" s="1805" t="str">
        <f t="shared" si="11"/>
        <v>内部装修状况</v>
      </c>
      <c r="R37" s="770" t="s">
        <v>17</v>
      </c>
      <c r="S37" s="771">
        <f t="shared" si="12"/>
        <v>100</v>
      </c>
      <c r="T37" s="770" t="s">
        <v>17</v>
      </c>
      <c r="U37" s="771">
        <f t="shared" si="13"/>
        <v>100</v>
      </c>
      <c r="V37" s="770" t="s">
        <v>17</v>
      </c>
      <c r="W37" s="771">
        <f t="shared" si="14"/>
        <v>100</v>
      </c>
      <c r="X37" s="1808"/>
      <c r="Y37" s="3257"/>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7"/>
      <c r="Q38" s="772">
        <f t="shared" si="11"/>
        <v>111</v>
      </c>
      <c r="R38" s="773" t="s">
        <v>17</v>
      </c>
      <c r="S38" s="774">
        <f t="shared" si="12"/>
        <v>100</v>
      </c>
      <c r="T38" s="773" t="s">
        <v>17</v>
      </c>
      <c r="U38" s="774">
        <f t="shared" si="13"/>
        <v>100</v>
      </c>
      <c r="V38" s="773" t="s">
        <v>17</v>
      </c>
      <c r="W38" s="774">
        <f t="shared" si="14"/>
        <v>100</v>
      </c>
      <c r="X38" s="775"/>
      <c r="Y38" s="3257"/>
      <c r="Z38" s="776">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7"/>
      <c r="Q39" s="1805">
        <f t="shared" si="11"/>
        <v>111</v>
      </c>
      <c r="R39" s="770" t="s">
        <v>17</v>
      </c>
      <c r="S39" s="771">
        <f t="shared" si="12"/>
        <v>100</v>
      </c>
      <c r="T39" s="770" t="s">
        <v>17</v>
      </c>
      <c r="U39" s="771">
        <f t="shared" si="13"/>
        <v>100</v>
      </c>
      <c r="V39" s="770" t="s">
        <v>17</v>
      </c>
      <c r="W39" s="771">
        <f t="shared" si="14"/>
        <v>100</v>
      </c>
      <c r="X39" s="1808"/>
      <c r="Y39" s="3257"/>
      <c r="Z39" s="1809">
        <f t="shared" si="15"/>
        <v>111</v>
      </c>
      <c r="AA39" s="1806">
        <f t="shared" si="3"/>
        <v>1</v>
      </c>
      <c r="AB39" s="1806">
        <f t="shared" si="4"/>
        <v>1</v>
      </c>
      <c r="AC39" s="1806">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8"/>
      <c r="Q40" s="1805">
        <f t="shared" si="11"/>
        <v>111</v>
      </c>
      <c r="R40" s="770" t="s">
        <v>17</v>
      </c>
      <c r="S40" s="771">
        <f t="shared" si="12"/>
        <v>100</v>
      </c>
      <c r="T40" s="770" t="s">
        <v>17</v>
      </c>
      <c r="U40" s="771">
        <f t="shared" si="13"/>
        <v>100</v>
      </c>
      <c r="V40" s="770" t="s">
        <v>17</v>
      </c>
      <c r="W40" s="771">
        <f t="shared" si="14"/>
        <v>100</v>
      </c>
      <c r="X40" s="1808"/>
      <c r="Y40" s="3258"/>
      <c r="Z40" s="1809">
        <f t="shared" si="15"/>
        <v>111</v>
      </c>
      <c r="AA40" s="1806">
        <f t="shared" si="3"/>
        <v>1</v>
      </c>
      <c r="AB40" s="1806">
        <f t="shared" si="4"/>
        <v>1</v>
      </c>
      <c r="AC40" s="1806">
        <f t="shared" si="5"/>
        <v>1</v>
      </c>
    </row>
    <row r="41" spans="1:29" ht="15">
      <c r="A41" s="479" t="s">
        <v>2568</v>
      </c>
      <c r="B41" s="480"/>
      <c r="C41" s="1403" t="s">
        <v>1</v>
      </c>
      <c r="D41" s="1404"/>
      <c r="E41" s="1405"/>
      <c r="F41" s="1406"/>
      <c r="G41" s="1407"/>
      <c r="H41" s="1408"/>
      <c r="I41" s="1405"/>
      <c r="J41" s="1408"/>
      <c r="K41" s="779"/>
      <c r="L41" s="1139"/>
      <c r="M41" s="1140"/>
      <c r="N41" s="1127"/>
      <c r="O41" s="1140"/>
      <c r="P41" s="3250" t="str">
        <f>A41</f>
        <v>成交单价（元/平方米）</v>
      </c>
      <c r="Q41" s="3250"/>
      <c r="R41" s="3251">
        <f>E41</f>
        <v>0</v>
      </c>
      <c r="S41" s="3251"/>
      <c r="T41" s="3251">
        <f>G41</f>
        <v>0</v>
      </c>
      <c r="U41" s="3251"/>
      <c r="V41" s="3251">
        <f>I41</f>
        <v>0</v>
      </c>
      <c r="W41" s="3251"/>
      <c r="X41" s="755"/>
      <c r="Y41" s="777"/>
      <c r="Z41" s="755"/>
      <c r="AA41" s="755"/>
      <c r="AB41" s="755"/>
      <c r="AC41" s="755"/>
    </row>
    <row r="42" spans="1:29" ht="15.75" thickBot="1">
      <c r="A42" s="486" t="s">
        <v>2660</v>
      </c>
      <c r="B42" s="487"/>
      <c r="C42" s="1409" t="e">
        <f>R43</f>
        <v>#DIV/0!</v>
      </c>
      <c r="D42" s="1410"/>
      <c r="E42" s="1411" t="e">
        <f>R42</f>
        <v>#DIV/0!</v>
      </c>
      <c r="F42" s="1411"/>
      <c r="G42" s="1409" t="e">
        <f>T42</f>
        <v>#DIV/0!</v>
      </c>
      <c r="H42" s="1410"/>
      <c r="I42" s="1411" t="e">
        <f>V42</f>
        <v>#DIV/0!</v>
      </c>
      <c r="J42" s="1410"/>
      <c r="K42" s="780"/>
      <c r="L42" s="1139"/>
      <c r="M42" s="1140"/>
      <c r="N42" s="1127"/>
      <c r="O42" s="1140"/>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5"/>
      <c r="Y42" s="755"/>
      <c r="Z42" s="755"/>
      <c r="AA42" s="755"/>
      <c r="AB42" s="755"/>
      <c r="AC42" s="755"/>
    </row>
    <row r="43" spans="1:29" ht="15.75" thickBot="1">
      <c r="A43" s="492" t="s">
        <v>2661</v>
      </c>
      <c r="B43" s="493"/>
      <c r="C43" s="1413" t="e">
        <f>R43</f>
        <v>#DIV/0!</v>
      </c>
      <c r="D43" s="1413"/>
      <c r="E43" s="1413"/>
      <c r="F43" s="1413"/>
      <c r="G43" s="1413"/>
      <c r="H43" s="1413"/>
      <c r="I43" s="1413"/>
      <c r="J43" s="1413"/>
      <c r="K43" s="781"/>
      <c r="L43" s="1139"/>
      <c r="M43" s="1140"/>
      <c r="N43" s="1140"/>
      <c r="O43" s="1140"/>
      <c r="P43" s="3247" t="str">
        <f>A43</f>
        <v>估价对象XX用房的比较价值（楼面单价，元/平方米）</v>
      </c>
      <c r="Q43" s="3248"/>
      <c r="R43" s="3249" t="e">
        <f>IF(F1="售价",ROUND(AVERAGE(R42:V42),0),ROUND(AVERAGE(R42:V42),1))</f>
        <v>#DIV/0!</v>
      </c>
      <c r="S43" s="3249"/>
      <c r="T43" s="3249"/>
      <c r="U43" s="3249"/>
      <c r="V43" s="3249"/>
      <c r="W43" s="3249"/>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2665</v>
      </c>
      <c r="B51" s="755"/>
      <c r="C51" s="760"/>
      <c r="D51" s="760"/>
      <c r="E51" s="760"/>
      <c r="F51" s="761"/>
      <c r="G51" s="761"/>
      <c r="H51" s="760"/>
      <c r="I51" s="760"/>
      <c r="J51" s="760"/>
      <c r="K51" s="1156"/>
      <c r="L51" s="1157"/>
      <c r="M51" s="1155"/>
      <c r="N51" s="1155"/>
      <c r="O51" s="1155"/>
      <c r="P51" s="503"/>
      <c r="Q51" s="504"/>
    </row>
    <row r="52" spans="1:17" s="508" customFormat="1" ht="15">
      <c r="A52" s="505" t="s">
        <v>2539</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2579</v>
      </c>
      <c r="B57" s="528" t="s">
        <v>2545</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2680</v>
      </c>
      <c r="C76" s="659" t="s">
        <v>2666</v>
      </c>
      <c r="D76" s="659" t="s">
        <v>2667</v>
      </c>
      <c r="E76" s="659" t="s">
        <v>2668</v>
      </c>
      <c r="F76" s="659" t="s">
        <v>2669</v>
      </c>
      <c r="G76" s="659" t="s">
        <v>2670</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2554</v>
      </c>
      <c r="B88" s="528" t="s">
        <v>2603</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2605</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2607</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2608</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2609</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2611</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2697</v>
      </c>
      <c r="C106" s="578" t="s">
        <v>2588</v>
      </c>
      <c r="D106" s="578" t="s">
        <v>2589</v>
      </c>
      <c r="E106" s="578" t="s">
        <v>2590</v>
      </c>
      <c r="F106" s="578" t="s">
        <v>2591</v>
      </c>
      <c r="G106" s="578" t="s">
        <v>2592</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2698</v>
      </c>
      <c r="B1" s="1615"/>
      <c r="C1" s="1616" t="s">
        <v>2521</v>
      </c>
      <c r="D1" s="1617"/>
      <c r="E1" s="1618"/>
      <c r="F1" s="2578"/>
      <c r="G1" s="1619" t="s">
        <v>2634</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2318</v>
      </c>
      <c r="B2" s="1414" t="e">
        <f ca="1">IF(C2="——",IF(B37="元/平方米",ROUND(C39*D3/10000,0),ROUND(F3*C39/10000,0)),IF(B37="元/平方米",ROUND(C39*D3/10000,0),ROUND(F3*C39/10000,0))-D2)</f>
        <v>#DIV/0!</v>
      </c>
      <c r="C2" s="2580"/>
      <c r="D2" s="1120" t="e">
        <f ca="1">SUMIF(INDIRECT("'"&amp;F2&amp;"'"&amp;"!A:A"),"承租人权益价值",INDIRECT("'"&amp;F2&amp;"'"&amp;"!c:c"))</f>
        <v>#REF!</v>
      </c>
      <c r="E2" s="2581" t="s">
        <v>2319</v>
      </c>
      <c r="F2" s="2582"/>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63" t="s">
        <v>2639</v>
      </c>
      <c r="AC4" s="3262" t="s">
        <v>2640</v>
      </c>
    </row>
    <row r="5" spans="1:29" ht="15">
      <c r="A5" s="404"/>
      <c r="B5" s="405"/>
      <c r="C5" s="3284" t="s">
        <v>2533</v>
      </c>
      <c r="D5" s="3285"/>
      <c r="E5" s="3291" t="s">
        <v>2534</v>
      </c>
      <c r="F5" s="3292"/>
      <c r="G5" s="3284" t="s">
        <v>2535</v>
      </c>
      <c r="H5" s="3285"/>
      <c r="I5" s="3284" t="s">
        <v>2536</v>
      </c>
      <c r="J5" s="3285"/>
      <c r="K5" s="610"/>
      <c r="L5" s="1126"/>
      <c r="M5" s="1127"/>
      <c r="N5" s="1127"/>
      <c r="O5" s="1127"/>
      <c r="P5" s="3271"/>
      <c r="Q5" s="3272"/>
      <c r="R5" s="3277"/>
      <c r="S5" s="3278"/>
      <c r="T5" s="3277"/>
      <c r="U5" s="3278"/>
      <c r="V5" s="3281"/>
      <c r="W5" s="3281"/>
      <c r="X5" s="1808"/>
      <c r="Y5" s="3277"/>
      <c r="Z5" s="3278"/>
      <c r="AA5" s="3263"/>
      <c r="AB5" s="3263"/>
      <c r="AC5" s="3263"/>
    </row>
    <row r="6" spans="1:29" ht="15.75" thickBot="1">
      <c r="A6" s="406"/>
      <c r="B6" s="407"/>
      <c r="C6" s="3282" t="s">
        <v>2537</v>
      </c>
      <c r="D6" s="3283"/>
      <c r="E6" s="3289" t="s">
        <v>2537</v>
      </c>
      <c r="F6" s="3290"/>
      <c r="G6" s="3282" t="s">
        <v>2537</v>
      </c>
      <c r="H6" s="3283"/>
      <c r="I6" s="3282" t="s">
        <v>2537</v>
      </c>
      <c r="J6" s="3283"/>
      <c r="K6" s="610" t="s">
        <v>2538</v>
      </c>
      <c r="L6" s="1126"/>
      <c r="M6" s="1127"/>
      <c r="N6" s="1127"/>
      <c r="O6" s="1127"/>
      <c r="P6" s="3273"/>
      <c r="Q6" s="3274"/>
      <c r="R6" s="3277"/>
      <c r="S6" s="3278"/>
      <c r="T6" s="3279"/>
      <c r="U6" s="3280"/>
      <c r="V6" s="3281"/>
      <c r="W6" s="3281"/>
      <c r="X6" s="1808"/>
      <c r="Y6" s="3279"/>
      <c r="Z6" s="3280"/>
      <c r="AA6" s="3264"/>
      <c r="AB6" s="3264"/>
      <c r="AC6" s="3264"/>
    </row>
    <row r="7" spans="1:29" s="117" customFormat="1" ht="15.75" thickBot="1">
      <c r="A7" s="408" t="s">
        <v>2539</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86" t="s">
        <v>2540</v>
      </c>
      <c r="Q7" s="3288"/>
      <c r="R7" s="766" t="s">
        <v>17</v>
      </c>
      <c r="S7" s="767">
        <f t="shared" ref="S7:S14" si="0">F7</f>
        <v>0</v>
      </c>
      <c r="T7" s="766" t="s">
        <v>17</v>
      </c>
      <c r="U7" s="767">
        <f t="shared" ref="U7:U14" si="1">H7</f>
        <v>0</v>
      </c>
      <c r="V7" s="766" t="s">
        <v>17</v>
      </c>
      <c r="W7" s="767">
        <f t="shared" ref="W7:W14" si="2">J7</f>
        <v>0</v>
      </c>
      <c r="X7" s="768"/>
      <c r="Y7" s="3286" t="s">
        <v>2540</v>
      </c>
      <c r="Z7" s="3287"/>
      <c r="AA7" s="769" t="e">
        <f>D7/F7</f>
        <v>#DIV/0!</v>
      </c>
      <c r="AB7" s="769" t="e">
        <f>D7/H7</f>
        <v>#DIV/0!</v>
      </c>
      <c r="AC7" s="769"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86" t="s">
        <v>2543</v>
      </c>
      <c r="Q8" s="3287"/>
      <c r="R8" s="766" t="s">
        <v>17</v>
      </c>
      <c r="S8" s="767">
        <f t="shared" si="0"/>
        <v>0</v>
      </c>
      <c r="T8" s="766" t="s">
        <v>17</v>
      </c>
      <c r="U8" s="767">
        <f t="shared" si="1"/>
        <v>0</v>
      </c>
      <c r="V8" s="766" t="s">
        <v>17</v>
      </c>
      <c r="W8" s="767">
        <f t="shared" si="2"/>
        <v>0</v>
      </c>
      <c r="X8" s="768"/>
      <c r="Y8" s="3286" t="s">
        <v>2543</v>
      </c>
      <c r="Z8" s="3287"/>
      <c r="AA8" s="769" t="e">
        <f t="shared" ref="AA8:AA36" si="3">D8/F8</f>
        <v>#DIV/0!</v>
      </c>
      <c r="AB8" s="769" t="e">
        <f t="shared" ref="AB8:AB36" si="4">D8/H8</f>
        <v>#DIV/0!</v>
      </c>
      <c r="AC8" s="769" t="e">
        <f t="shared" ref="AC8:AC36" si="5">D8/J8</f>
        <v>#DIV/0!</v>
      </c>
    </row>
    <row r="9" spans="1:29" s="117" customFormat="1">
      <c r="A9" s="68" t="s">
        <v>2544</v>
      </c>
      <c r="B9" s="639" t="s">
        <v>2545</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50" t="s">
        <v>2546</v>
      </c>
      <c r="Q9" s="1790" t="str">
        <f t="shared" ref="Q9:Q14" si="6">B9</f>
        <v>用途</v>
      </c>
      <c r="R9" s="766" t="s">
        <v>17</v>
      </c>
      <c r="S9" s="767">
        <f t="shared" si="0"/>
        <v>100</v>
      </c>
      <c r="T9" s="766" t="s">
        <v>17</v>
      </c>
      <c r="U9" s="767">
        <f t="shared" si="1"/>
        <v>100</v>
      </c>
      <c r="V9" s="766" t="s">
        <v>17</v>
      </c>
      <c r="W9" s="767">
        <f t="shared" si="2"/>
        <v>100</v>
      </c>
      <c r="X9" s="768"/>
      <c r="Y9" s="3081" t="s">
        <v>2547</v>
      </c>
      <c r="Z9" s="55" t="str">
        <f t="shared" ref="Z9:Z14" si="7">Q9</f>
        <v>用途</v>
      </c>
      <c r="AA9" s="769">
        <f t="shared" si="3"/>
        <v>1</v>
      </c>
      <c r="AB9" s="769">
        <f t="shared" si="4"/>
        <v>1</v>
      </c>
      <c r="AC9" s="769">
        <f t="shared" si="5"/>
        <v>1</v>
      </c>
    </row>
    <row r="10" spans="1:29" s="427" customFormat="1" ht="27">
      <c r="A10" s="640"/>
      <c r="B10" s="641" t="s">
        <v>2548</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50"/>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50"/>
      <c r="Q11" s="1790">
        <f t="shared" si="6"/>
        <v>111</v>
      </c>
      <c r="R11" s="766" t="s">
        <v>17</v>
      </c>
      <c r="S11" s="767">
        <f t="shared" si="0"/>
        <v>100</v>
      </c>
      <c r="T11" s="766" t="s">
        <v>17</v>
      </c>
      <c r="U11" s="767">
        <f t="shared" si="1"/>
        <v>100</v>
      </c>
      <c r="V11" s="766" t="s">
        <v>17</v>
      </c>
      <c r="W11" s="767">
        <f t="shared" si="2"/>
        <v>100</v>
      </c>
      <c r="X11" s="768"/>
      <c r="Y11" s="3081"/>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50"/>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50"/>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769">
        <f t="shared" si="5"/>
        <v>1</v>
      </c>
    </row>
    <row r="14" spans="1:29" ht="85.5">
      <c r="A14" s="401" t="s">
        <v>2550</v>
      </c>
      <c r="B14" s="628" t="s">
        <v>2700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52" t="s">
        <v>2551</v>
      </c>
      <c r="Q14" s="1805" t="str">
        <f t="shared" si="6"/>
        <v>交通便捷度</v>
      </c>
      <c r="R14" s="770" t="s">
        <v>17</v>
      </c>
      <c r="S14" s="771">
        <f t="shared" si="0"/>
        <v>100</v>
      </c>
      <c r="T14" s="770" t="s">
        <v>17</v>
      </c>
      <c r="U14" s="771">
        <f t="shared" si="1"/>
        <v>100</v>
      </c>
      <c r="V14" s="770" t="s">
        <v>17</v>
      </c>
      <c r="W14" s="771">
        <f t="shared" si="2"/>
        <v>100</v>
      </c>
      <c r="X14" s="1808"/>
      <c r="Y14" s="3252" t="s">
        <v>2551</v>
      </c>
      <c r="Z14" s="1809" t="str">
        <f t="shared" si="7"/>
        <v>交通便捷度</v>
      </c>
      <c r="AA14" s="1806">
        <f t="shared" si="3"/>
        <v>1</v>
      </c>
      <c r="AB14" s="1806">
        <f t="shared" si="4"/>
        <v>1</v>
      </c>
      <c r="AC14" s="1806">
        <f t="shared" si="5"/>
        <v>1</v>
      </c>
    </row>
    <row r="15" spans="1:29" ht="15">
      <c r="A15" s="404"/>
      <c r="B15" s="646"/>
      <c r="C15" s="447"/>
      <c r="D15" s="448"/>
      <c r="E15" s="447"/>
      <c r="F15" s="449"/>
      <c r="G15" s="447"/>
      <c r="H15" s="450"/>
      <c r="I15" s="447"/>
      <c r="J15" s="448"/>
      <c r="K15" s="615"/>
      <c r="L15" s="1136"/>
      <c r="M15" s="1127"/>
      <c r="N15" s="1127"/>
      <c r="O15" s="1127"/>
      <c r="P15" s="3253"/>
      <c r="Q15" s="1805"/>
      <c r="R15" s="770"/>
      <c r="S15" s="771"/>
      <c r="T15" s="770"/>
      <c r="U15" s="771"/>
      <c r="V15" s="770"/>
      <c r="W15" s="771"/>
      <c r="X15" s="1808"/>
      <c r="Y15" s="3253"/>
      <c r="Z15" s="1809"/>
      <c r="AA15" s="1806">
        <v>1</v>
      </c>
      <c r="AB15" s="1806">
        <v>1</v>
      </c>
      <c r="AC15" s="1806">
        <v>1</v>
      </c>
    </row>
    <row r="16" spans="1:29" ht="42.75">
      <c r="A16" s="404"/>
      <c r="B16" s="630" t="s">
        <v>2679</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53"/>
      <c r="Q16" s="1805" t="str">
        <f>B16</f>
        <v>公共配套设施</v>
      </c>
      <c r="R16" s="770" t="s">
        <v>17</v>
      </c>
      <c r="S16" s="771">
        <f>F16</f>
        <v>100</v>
      </c>
      <c r="T16" s="770" t="s">
        <v>17</v>
      </c>
      <c r="U16" s="771">
        <f>H16</f>
        <v>100</v>
      </c>
      <c r="V16" s="770" t="s">
        <v>17</v>
      </c>
      <c r="W16" s="771">
        <f>J16</f>
        <v>100</v>
      </c>
      <c r="X16" s="1808"/>
      <c r="Y16" s="3253"/>
      <c r="Z16" s="1809" t="str">
        <f>Q16</f>
        <v>公共配套设施</v>
      </c>
      <c r="AA16" s="1806">
        <f t="shared" si="3"/>
        <v>1</v>
      </c>
      <c r="AB16" s="1806">
        <f t="shared" si="4"/>
        <v>1</v>
      </c>
      <c r="AC16" s="1806">
        <f t="shared" si="5"/>
        <v>1</v>
      </c>
    </row>
    <row r="17" spans="1:29" ht="15">
      <c r="A17" s="404"/>
      <c r="B17" s="631"/>
      <c r="C17" s="2602"/>
      <c r="D17" s="448"/>
      <c r="E17" s="447"/>
      <c r="F17" s="449"/>
      <c r="G17" s="447"/>
      <c r="H17" s="448"/>
      <c r="I17" s="447"/>
      <c r="J17" s="448"/>
      <c r="K17" s="615"/>
      <c r="L17" s="1136"/>
      <c r="M17" s="1127"/>
      <c r="N17" s="1127"/>
      <c r="O17" s="1127"/>
      <c r="P17" s="3253"/>
      <c r="Q17" s="1805"/>
      <c r="R17" s="770"/>
      <c r="S17" s="771"/>
      <c r="T17" s="770"/>
      <c r="U17" s="771"/>
      <c r="V17" s="770"/>
      <c r="W17" s="771"/>
      <c r="X17" s="1808"/>
      <c r="Y17" s="3253"/>
      <c r="Z17" s="1809"/>
      <c r="AA17" s="1806">
        <v>1</v>
      </c>
      <c r="AB17" s="1806">
        <v>1</v>
      </c>
      <c r="AC17" s="1806">
        <v>1</v>
      </c>
    </row>
    <row r="18" spans="1:29" ht="28.5">
      <c r="A18" s="404"/>
      <c r="B18" s="632" t="s">
        <v>2680</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53"/>
      <c r="Q18" s="1805" t="str">
        <f>B18</f>
        <v>基础设施水平</v>
      </c>
      <c r="R18" s="770" t="s">
        <v>17</v>
      </c>
      <c r="S18" s="771">
        <f>F18</f>
        <v>100</v>
      </c>
      <c r="T18" s="770" t="s">
        <v>17</v>
      </c>
      <c r="U18" s="771">
        <f>H18</f>
        <v>100</v>
      </c>
      <c r="V18" s="770" t="s">
        <v>17</v>
      </c>
      <c r="W18" s="771">
        <f>J18</f>
        <v>100</v>
      </c>
      <c r="X18" s="1808"/>
      <c r="Y18" s="3253"/>
      <c r="Z18" s="1809" t="str">
        <f>Q18</f>
        <v>基础设施水平</v>
      </c>
      <c r="AA18" s="1806">
        <f t="shared" ref="AA18" si="8">D18/F18</f>
        <v>1</v>
      </c>
      <c r="AB18" s="1806">
        <f t="shared" ref="AB18" si="9">D18/H18</f>
        <v>1</v>
      </c>
      <c r="AC18" s="1806">
        <f t="shared" ref="AC18" si="10">D18/J18</f>
        <v>1</v>
      </c>
    </row>
    <row r="19" spans="1:29" ht="15">
      <c r="A19" s="404"/>
      <c r="B19" s="632"/>
      <c r="C19" s="2602"/>
      <c r="D19" s="450"/>
      <c r="E19" s="2602"/>
      <c r="F19" s="453"/>
      <c r="G19" s="2602"/>
      <c r="H19" s="448"/>
      <c r="I19" s="447"/>
      <c r="J19" s="448"/>
      <c r="K19" s="1379"/>
      <c r="L19" s="1136"/>
      <c r="M19" s="1127"/>
      <c r="N19" s="1127"/>
      <c r="O19" s="1127"/>
      <c r="P19" s="3253"/>
      <c r="Q19" s="1805"/>
      <c r="R19" s="770"/>
      <c r="S19" s="771"/>
      <c r="T19" s="770"/>
      <c r="U19" s="771"/>
      <c r="V19" s="770"/>
      <c r="W19" s="771"/>
      <c r="X19" s="1808"/>
      <c r="Y19" s="3253"/>
      <c r="Z19" s="1809"/>
      <c r="AA19" s="1806">
        <v>1</v>
      </c>
      <c r="AB19" s="1806">
        <v>1</v>
      </c>
      <c r="AC19" s="1806">
        <v>1</v>
      </c>
    </row>
    <row r="20" spans="1:29" ht="57">
      <c r="A20" s="404"/>
      <c r="B20" s="630" t="s">
        <v>2701</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53"/>
      <c r="Q20" s="1805" t="str">
        <f>B20</f>
        <v>自然及人文环境</v>
      </c>
      <c r="R20" s="770" t="s">
        <v>17</v>
      </c>
      <c r="S20" s="771">
        <f>F20</f>
        <v>100</v>
      </c>
      <c r="T20" s="770" t="s">
        <v>17</v>
      </c>
      <c r="U20" s="771">
        <f>H20</f>
        <v>100</v>
      </c>
      <c r="V20" s="770" t="s">
        <v>17</v>
      </c>
      <c r="W20" s="771">
        <f>J20</f>
        <v>100</v>
      </c>
      <c r="X20" s="1808"/>
      <c r="Y20" s="3253"/>
      <c r="Z20" s="1809" t="str">
        <f>Q20</f>
        <v>自然及人文环境</v>
      </c>
      <c r="AA20" s="1806">
        <f t="shared" si="3"/>
        <v>1</v>
      </c>
      <c r="AB20" s="1806">
        <f t="shared" si="4"/>
        <v>1</v>
      </c>
      <c r="AC20" s="1806">
        <f t="shared" si="5"/>
        <v>1</v>
      </c>
    </row>
    <row r="21" spans="1:29" ht="15">
      <c r="A21" s="404"/>
      <c r="B21" s="631"/>
      <c r="C21" s="447"/>
      <c r="D21" s="448"/>
      <c r="E21" s="447"/>
      <c r="F21" s="449"/>
      <c r="G21" s="447"/>
      <c r="H21" s="448"/>
      <c r="I21" s="447"/>
      <c r="J21" s="448"/>
      <c r="K21" s="615"/>
      <c r="L21" s="1136"/>
      <c r="M21" s="1127"/>
      <c r="N21" s="1127"/>
      <c r="O21" s="1127"/>
      <c r="P21" s="3253"/>
      <c r="Q21" s="1805"/>
      <c r="R21" s="770"/>
      <c r="S21" s="771"/>
      <c r="T21" s="770"/>
      <c r="U21" s="771"/>
      <c r="V21" s="770"/>
      <c r="W21" s="771"/>
      <c r="X21" s="1808"/>
      <c r="Y21" s="3253"/>
      <c r="Z21" s="1809"/>
      <c r="AA21" s="1806">
        <v>1</v>
      </c>
      <c r="AB21" s="1806">
        <v>1</v>
      </c>
      <c r="AC21" s="1806">
        <v>1</v>
      </c>
    </row>
    <row r="22" spans="1:29" ht="15">
      <c r="A22" s="404"/>
      <c r="B22" s="630" t="s">
        <v>2702</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53"/>
      <c r="Q22" s="1805" t="str">
        <f>B22</f>
        <v>楼层</v>
      </c>
      <c r="R22" s="770" t="s">
        <v>17</v>
      </c>
      <c r="S22" s="771">
        <f>F22</f>
        <v>100</v>
      </c>
      <c r="T22" s="770" t="s">
        <v>17</v>
      </c>
      <c r="U22" s="771">
        <f>H22</f>
        <v>100</v>
      </c>
      <c r="V22" s="770" t="s">
        <v>17</v>
      </c>
      <c r="W22" s="771">
        <f>J22</f>
        <v>100</v>
      </c>
      <c r="X22" s="1808"/>
      <c r="Y22" s="3253"/>
      <c r="Z22" s="1809" t="str">
        <f>Q22</f>
        <v>楼层</v>
      </c>
      <c r="AA22" s="1806">
        <f t="shared" si="3"/>
        <v>1</v>
      </c>
      <c r="AB22" s="1806">
        <f t="shared" si="4"/>
        <v>1</v>
      </c>
      <c r="AC22" s="1806">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3"/>
      <c r="Q23" s="1805">
        <f>B23</f>
        <v>111</v>
      </c>
      <c r="R23" s="770" t="s">
        <v>17</v>
      </c>
      <c r="S23" s="771">
        <f>F23</f>
        <v>100</v>
      </c>
      <c r="T23" s="770" t="s">
        <v>17</v>
      </c>
      <c r="U23" s="771">
        <f>H23</f>
        <v>100</v>
      </c>
      <c r="V23" s="770" t="s">
        <v>17</v>
      </c>
      <c r="W23" s="771">
        <f>J23</f>
        <v>100</v>
      </c>
      <c r="X23" s="1808"/>
      <c r="Y23" s="3253"/>
      <c r="Z23" s="1809">
        <f>Q23</f>
        <v>111</v>
      </c>
      <c r="AA23" s="1806">
        <f t="shared" si="3"/>
        <v>1</v>
      </c>
      <c r="AB23" s="1806">
        <f t="shared" si="4"/>
        <v>1</v>
      </c>
      <c r="AC23" s="1806">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3"/>
      <c r="Q24" s="1805">
        <f t="shared" ref="Q24:Q36" si="11">B24</f>
        <v>111</v>
      </c>
      <c r="R24" s="770" t="s">
        <v>17</v>
      </c>
      <c r="S24" s="771">
        <f>F24</f>
        <v>100</v>
      </c>
      <c r="T24" s="770" t="s">
        <v>17</v>
      </c>
      <c r="U24" s="771">
        <f>H24</f>
        <v>100</v>
      </c>
      <c r="V24" s="770" t="s">
        <v>17</v>
      </c>
      <c r="W24" s="771">
        <f>J24</f>
        <v>100</v>
      </c>
      <c r="X24" s="1808"/>
      <c r="Y24" s="3253"/>
      <c r="Z24" s="1809">
        <f>Q24</f>
        <v>111</v>
      </c>
      <c r="AA24" s="1806">
        <f t="shared" si="3"/>
        <v>1</v>
      </c>
      <c r="AB24" s="1806">
        <f t="shared" si="4"/>
        <v>1</v>
      </c>
      <c r="AC24" s="1806">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53"/>
      <c r="Q25" s="1790">
        <f t="shared" si="11"/>
        <v>111</v>
      </c>
      <c r="R25" s="766" t="s">
        <v>17</v>
      </c>
      <c r="S25" s="767">
        <f>F25</f>
        <v>100</v>
      </c>
      <c r="T25" s="766" t="s">
        <v>17</v>
      </c>
      <c r="U25" s="767">
        <f>H25</f>
        <v>100</v>
      </c>
      <c r="V25" s="766" t="s">
        <v>17</v>
      </c>
      <c r="W25" s="767">
        <f>J25</f>
        <v>100</v>
      </c>
      <c r="X25" s="768"/>
      <c r="Y25" s="3253"/>
      <c r="Z25" s="55">
        <f>Q25</f>
        <v>111</v>
      </c>
      <c r="AA25" s="1806">
        <f>D25/F25</f>
        <v>1</v>
      </c>
      <c r="AB25" s="1806">
        <f>D25/H25</f>
        <v>1</v>
      </c>
      <c r="AC25" s="1806">
        <f>D25/J25</f>
        <v>1</v>
      </c>
    </row>
    <row r="26" spans="1:29" ht="28.5">
      <c r="A26" s="651" t="s">
        <v>2554</v>
      </c>
      <c r="B26" s="70" t="s">
        <v>2703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10" t="s">
        <v>2556</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57" t="s">
        <v>2556</v>
      </c>
      <c r="Z26" s="1809" t="str">
        <f t="shared" ref="Z26:Z36" si="15">Q26</f>
        <v>配套类型</v>
      </c>
      <c r="AA26" s="1806">
        <f t="shared" si="3"/>
        <v>1</v>
      </c>
      <c r="AB26" s="1806">
        <f t="shared" si="4"/>
        <v>1</v>
      </c>
      <c r="AC26" s="1806">
        <f t="shared" si="5"/>
        <v>1</v>
      </c>
    </row>
    <row r="27" spans="1:29" s="471" customFormat="1" ht="15">
      <c r="A27" s="652"/>
      <c r="B27" s="653" t="s">
        <v>2704</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57"/>
      <c r="Q27" s="772" t="str">
        <f t="shared" si="11"/>
        <v>项目停车位配比</v>
      </c>
      <c r="R27" s="773" t="s">
        <v>17</v>
      </c>
      <c r="S27" s="774">
        <f t="shared" si="12"/>
        <v>100</v>
      </c>
      <c r="T27" s="773" t="s">
        <v>17</v>
      </c>
      <c r="U27" s="774">
        <f t="shared" si="13"/>
        <v>100</v>
      </c>
      <c r="V27" s="773" t="s">
        <v>17</v>
      </c>
      <c r="W27" s="774">
        <f t="shared" si="14"/>
        <v>100</v>
      </c>
      <c r="X27" s="775"/>
      <c r="Y27" s="3257"/>
      <c r="Z27" s="776" t="str">
        <f t="shared" si="15"/>
        <v>项目停车位配比</v>
      </c>
      <c r="AA27" s="1806">
        <f t="shared" si="3"/>
        <v>1</v>
      </c>
      <c r="AB27" s="1806">
        <f t="shared" si="4"/>
        <v>1</v>
      </c>
      <c r="AC27" s="1806">
        <f t="shared" si="5"/>
        <v>1</v>
      </c>
    </row>
    <row r="28" spans="1:29" ht="15">
      <c r="A28" s="655"/>
      <c r="B28" s="653" t="s">
        <v>2705</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57"/>
      <c r="Q28" s="1805" t="str">
        <f t="shared" si="11"/>
        <v>公共部分装修</v>
      </c>
      <c r="R28" s="770" t="s">
        <v>17</v>
      </c>
      <c r="S28" s="771">
        <f t="shared" si="12"/>
        <v>100</v>
      </c>
      <c r="T28" s="770" t="s">
        <v>17</v>
      </c>
      <c r="U28" s="771">
        <f t="shared" si="13"/>
        <v>100</v>
      </c>
      <c r="V28" s="770" t="s">
        <v>17</v>
      </c>
      <c r="W28" s="771">
        <f t="shared" si="14"/>
        <v>100</v>
      </c>
      <c r="X28" s="1808"/>
      <c r="Y28" s="3257"/>
      <c r="Z28" s="1809" t="str">
        <f t="shared" si="15"/>
        <v>公共部分装修</v>
      </c>
      <c r="AA28" s="1806">
        <f t="shared" si="3"/>
        <v>1</v>
      </c>
      <c r="AB28" s="1806">
        <f t="shared" si="4"/>
        <v>1</v>
      </c>
      <c r="AC28" s="1806">
        <f t="shared" si="5"/>
        <v>1</v>
      </c>
    </row>
    <row r="29" spans="1:29" ht="15">
      <c r="A29" s="655"/>
      <c r="B29" s="653"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57"/>
      <c r="Q29" s="1805" t="str">
        <f t="shared" si="11"/>
        <v>成新率</v>
      </c>
      <c r="R29" s="770" t="s">
        <v>17</v>
      </c>
      <c r="S29" s="771" t="e">
        <f t="shared" si="12"/>
        <v>#N/A</v>
      </c>
      <c r="T29" s="770" t="s">
        <v>17</v>
      </c>
      <c r="U29" s="771" t="e">
        <f t="shared" si="13"/>
        <v>#N/A</v>
      </c>
      <c r="V29" s="770" t="s">
        <v>17</v>
      </c>
      <c r="W29" s="771" t="e">
        <f t="shared" si="14"/>
        <v>#N/A</v>
      </c>
      <c r="X29" s="1808"/>
      <c r="Y29" s="3257"/>
      <c r="Z29" s="1809" t="str">
        <f t="shared" si="15"/>
        <v>成新率</v>
      </c>
      <c r="AA29" s="1806" t="e">
        <f t="shared" si="3"/>
        <v>#N/A</v>
      </c>
      <c r="AB29" s="1806" t="e">
        <f t="shared" si="4"/>
        <v>#N/A</v>
      </c>
      <c r="AC29" s="1806" t="e">
        <f t="shared" si="5"/>
        <v>#N/A</v>
      </c>
    </row>
    <row r="30" spans="1:29" ht="15">
      <c r="A30" s="655"/>
      <c r="B30" s="653" t="s">
        <v>2707</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57"/>
      <c r="Q30" s="1805" t="str">
        <f t="shared" si="11"/>
        <v>物业等级</v>
      </c>
      <c r="R30" s="770" t="s">
        <v>17</v>
      </c>
      <c r="S30" s="771">
        <f t="shared" si="12"/>
        <v>100</v>
      </c>
      <c r="T30" s="770" t="s">
        <v>17</v>
      </c>
      <c r="U30" s="771">
        <f t="shared" si="13"/>
        <v>100</v>
      </c>
      <c r="V30" s="770" t="s">
        <v>17</v>
      </c>
      <c r="W30" s="771">
        <f t="shared" si="14"/>
        <v>100</v>
      </c>
      <c r="X30" s="1808"/>
      <c r="Y30" s="3257"/>
      <c r="Z30" s="1809" t="str">
        <f t="shared" si="15"/>
        <v>物业等级</v>
      </c>
      <c r="AA30" s="1806">
        <f t="shared" si="3"/>
        <v>1</v>
      </c>
      <c r="AB30" s="1806">
        <f t="shared" si="4"/>
        <v>1</v>
      </c>
      <c r="AC30" s="1806">
        <f t="shared" si="5"/>
        <v>1</v>
      </c>
    </row>
    <row r="31" spans="1:29" s="117" customFormat="1" ht="15">
      <c r="A31" s="657"/>
      <c r="B31" s="653"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57"/>
      <c r="Q31" s="1790" t="str">
        <f t="shared" si="11"/>
        <v>停车位面积</v>
      </c>
      <c r="R31" s="766" t="s">
        <v>17</v>
      </c>
      <c r="S31" s="767" t="e">
        <f t="shared" si="12"/>
        <v>#N/A</v>
      </c>
      <c r="T31" s="766" t="s">
        <v>17</v>
      </c>
      <c r="U31" s="767" t="e">
        <f t="shared" si="13"/>
        <v>#N/A</v>
      </c>
      <c r="V31" s="766" t="s">
        <v>17</v>
      </c>
      <c r="W31" s="767" t="e">
        <f t="shared" si="14"/>
        <v>#N/A</v>
      </c>
      <c r="X31" s="768"/>
      <c r="Y31" s="3257"/>
      <c r="Z31" s="55" t="str">
        <f t="shared" si="15"/>
        <v>停车位面积</v>
      </c>
      <c r="AA31" s="769" t="e">
        <f t="shared" si="3"/>
        <v>#N/A</v>
      </c>
      <c r="AB31" s="769" t="e">
        <f t="shared" si="4"/>
        <v>#N/A</v>
      </c>
      <c r="AC31" s="769" t="e">
        <f t="shared" si="5"/>
        <v>#N/A</v>
      </c>
    </row>
    <row r="32" spans="1:29" ht="15">
      <c r="A32" s="655"/>
      <c r="B32" s="653" t="s">
        <v>2709</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57" t="s">
        <v>2556</v>
      </c>
      <c r="Q32" s="1805" t="str">
        <f t="shared" si="11"/>
        <v>车位类型</v>
      </c>
      <c r="R32" s="770" t="s">
        <v>17</v>
      </c>
      <c r="S32" s="771">
        <f t="shared" si="12"/>
        <v>100</v>
      </c>
      <c r="T32" s="770" t="s">
        <v>17</v>
      </c>
      <c r="U32" s="771">
        <f t="shared" si="13"/>
        <v>100</v>
      </c>
      <c r="V32" s="770" t="s">
        <v>17</v>
      </c>
      <c r="W32" s="771">
        <f t="shared" si="14"/>
        <v>100</v>
      </c>
      <c r="X32" s="1808"/>
      <c r="Y32" s="3257" t="s">
        <v>2556</v>
      </c>
      <c r="Z32" s="1809" t="str">
        <f t="shared" si="15"/>
        <v>车位类型</v>
      </c>
      <c r="AA32" s="1806">
        <f t="shared" si="3"/>
        <v>1</v>
      </c>
      <c r="AB32" s="1806">
        <f t="shared" si="4"/>
        <v>1</v>
      </c>
      <c r="AC32" s="1806">
        <f t="shared" si="5"/>
        <v>1</v>
      </c>
    </row>
    <row r="33" spans="1:29" ht="15">
      <c r="A33" s="655"/>
      <c r="B33" s="653" t="s">
        <v>2710</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7"/>
      <c r="Q33" s="1805" t="str">
        <f t="shared" si="11"/>
        <v>是否直接入户</v>
      </c>
      <c r="R33" s="770" t="s">
        <v>17</v>
      </c>
      <c r="S33" s="771">
        <f t="shared" si="12"/>
        <v>100</v>
      </c>
      <c r="T33" s="770" t="s">
        <v>17</v>
      </c>
      <c r="U33" s="771">
        <f t="shared" si="13"/>
        <v>100</v>
      </c>
      <c r="V33" s="770" t="s">
        <v>17</v>
      </c>
      <c r="W33" s="771">
        <f t="shared" si="14"/>
        <v>100</v>
      </c>
      <c r="X33" s="1808"/>
      <c r="Y33" s="3257"/>
      <c r="Z33" s="1809" t="str">
        <f t="shared" si="15"/>
        <v>是否直接入户</v>
      </c>
      <c r="AA33" s="1806">
        <f t="shared" si="3"/>
        <v>1</v>
      </c>
      <c r="AB33" s="1806">
        <f t="shared" si="4"/>
        <v>1</v>
      </c>
      <c r="AC33" s="1806">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7"/>
      <c r="Q34" s="1805">
        <f t="shared" si="11"/>
        <v>111</v>
      </c>
      <c r="R34" s="770" t="s">
        <v>17</v>
      </c>
      <c r="S34" s="771">
        <f t="shared" si="12"/>
        <v>100</v>
      </c>
      <c r="T34" s="770" t="s">
        <v>17</v>
      </c>
      <c r="U34" s="771">
        <f t="shared" si="13"/>
        <v>100</v>
      </c>
      <c r="V34" s="770" t="s">
        <v>17</v>
      </c>
      <c r="W34" s="771">
        <f t="shared" si="14"/>
        <v>100</v>
      </c>
      <c r="X34" s="1808"/>
      <c r="Y34" s="3257"/>
      <c r="Z34" s="1809">
        <f t="shared" si="15"/>
        <v>111</v>
      </c>
      <c r="AA34" s="1806">
        <f t="shared" si="3"/>
        <v>1</v>
      </c>
      <c r="AB34" s="1806">
        <f t="shared" si="4"/>
        <v>1</v>
      </c>
      <c r="AC34" s="1806">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7"/>
      <c r="Q35" s="772">
        <f t="shared" si="11"/>
        <v>111</v>
      </c>
      <c r="R35" s="773" t="s">
        <v>17</v>
      </c>
      <c r="S35" s="774">
        <f t="shared" si="12"/>
        <v>100</v>
      </c>
      <c r="T35" s="773" t="s">
        <v>17</v>
      </c>
      <c r="U35" s="774">
        <f t="shared" si="13"/>
        <v>100</v>
      </c>
      <c r="V35" s="773" t="s">
        <v>17</v>
      </c>
      <c r="W35" s="774">
        <f t="shared" si="14"/>
        <v>100</v>
      </c>
      <c r="X35" s="775"/>
      <c r="Y35" s="3257"/>
      <c r="Z35" s="776">
        <f t="shared" si="15"/>
        <v>111</v>
      </c>
      <c r="AA35" s="1806">
        <f t="shared" si="3"/>
        <v>1</v>
      </c>
      <c r="AB35" s="1806">
        <f t="shared" si="4"/>
        <v>1</v>
      </c>
      <c r="AC35" s="1806">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7"/>
      <c r="Q36" s="1805">
        <f t="shared" si="11"/>
        <v>111</v>
      </c>
      <c r="R36" s="770" t="s">
        <v>17</v>
      </c>
      <c r="S36" s="771">
        <f t="shared" si="12"/>
        <v>100</v>
      </c>
      <c r="T36" s="770" t="s">
        <v>17</v>
      </c>
      <c r="U36" s="771">
        <f t="shared" si="13"/>
        <v>100</v>
      </c>
      <c r="V36" s="770" t="s">
        <v>17</v>
      </c>
      <c r="W36" s="771">
        <f t="shared" si="14"/>
        <v>100</v>
      </c>
      <c r="X36" s="1808"/>
      <c r="Y36" s="3257"/>
      <c r="Z36" s="1809">
        <f t="shared" si="15"/>
        <v>111</v>
      </c>
      <c r="AA36" s="1806">
        <f t="shared" si="3"/>
        <v>1</v>
      </c>
      <c r="AB36" s="1806">
        <f t="shared" si="4"/>
        <v>1</v>
      </c>
      <c r="AC36" s="1806">
        <f t="shared" si="5"/>
        <v>1</v>
      </c>
    </row>
    <row r="37" spans="1:29" ht="15">
      <c r="A37" s="479" t="s">
        <v>2711</v>
      </c>
      <c r="B37" s="2689" t="s">
        <v>2712</v>
      </c>
      <c r="C37" s="1403" t="s">
        <v>1</v>
      </c>
      <c r="D37" s="1404"/>
      <c r="E37" s="1405"/>
      <c r="F37" s="1406"/>
      <c r="G37" s="1407"/>
      <c r="H37" s="1408"/>
      <c r="I37" s="1405"/>
      <c r="J37" s="1408"/>
      <c r="K37" s="618"/>
      <c r="L37" s="1139"/>
      <c r="M37" s="1140"/>
      <c r="N37" s="1127"/>
      <c r="O37" s="1140"/>
      <c r="P37" s="3250" t="str">
        <f>A37</f>
        <v>成交单价</v>
      </c>
      <c r="Q37" s="3250"/>
      <c r="R37" s="3251">
        <f>E37</f>
        <v>0</v>
      </c>
      <c r="S37" s="3251"/>
      <c r="T37" s="3251">
        <f>G37</f>
        <v>0</v>
      </c>
      <c r="U37" s="3251"/>
      <c r="V37" s="3251">
        <f>I37</f>
        <v>0</v>
      </c>
      <c r="W37" s="3251"/>
      <c r="X37" s="755"/>
      <c r="Y37" s="777"/>
      <c r="Z37" s="755"/>
      <c r="AA37" s="755"/>
      <c r="AB37" s="755"/>
      <c r="AC37" s="755"/>
    </row>
    <row r="38" spans="1:29" ht="15.75" thickBot="1">
      <c r="A38" s="486" t="s">
        <v>2713</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5"/>
      <c r="Y38" s="755"/>
      <c r="Z38" s="755"/>
      <c r="AA38" s="755"/>
      <c r="AB38" s="755"/>
      <c r="AC38" s="755"/>
    </row>
    <row r="39" spans="1:29" ht="15.75" thickBot="1">
      <c r="A39" s="492" t="s">
        <v>2714</v>
      </c>
      <c r="B39" s="493"/>
      <c r="C39" s="1413" t="e">
        <f>R39</f>
        <v>#DIV/0!</v>
      </c>
      <c r="D39" s="1413"/>
      <c r="E39" s="1413"/>
      <c r="F39" s="1413"/>
      <c r="G39" s="1413"/>
      <c r="H39" s="1413"/>
      <c r="I39" s="1413"/>
      <c r="J39" s="1413"/>
      <c r="K39" s="620"/>
      <c r="L39" s="1139"/>
      <c r="M39" s="1140"/>
      <c r="N39" s="1140"/>
      <c r="O39" s="1140"/>
      <c r="P39" s="3247" t="str">
        <f>A39</f>
        <v>估价对象XX用房的比较价值（楼面单价，元/平方米）</v>
      </c>
      <c r="Q39" s="3248"/>
      <c r="R39" s="3249" t="e">
        <f>IF(F1="售价",ROUND(AVERAGE(R38:V38),0),ROUND(AVERAGE(R38:V38),1))</f>
        <v>#DIV/0!</v>
      </c>
      <c r="S39" s="3249"/>
      <c r="T39" s="3249"/>
      <c r="U39" s="3249"/>
      <c r="V39" s="3249"/>
      <c r="W39" s="3249"/>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2719</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2576</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2541</v>
      </c>
      <c r="B51" s="510"/>
      <c r="C51" s="522" t="s">
        <v>2643</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2579</v>
      </c>
      <c r="B53" s="528" t="s">
        <v>2545</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2594</v>
      </c>
      <c r="C65" s="578" t="s">
        <v>2588</v>
      </c>
      <c r="D65" s="578" t="s">
        <v>2589</v>
      </c>
      <c r="E65" s="578" t="s">
        <v>2590</v>
      </c>
      <c r="F65" s="578" t="s">
        <v>2591</v>
      </c>
      <c r="G65" s="578" t="s">
        <v>2592</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2680</v>
      </c>
      <c r="C67" s="659" t="s">
        <v>2666</v>
      </c>
      <c r="D67" s="659" t="s">
        <v>2667</v>
      </c>
      <c r="E67" s="659" t="s">
        <v>2668</v>
      </c>
      <c r="F67" s="659" t="s">
        <v>2669</v>
      </c>
      <c r="G67" s="659" t="s">
        <v>2670</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2600</v>
      </c>
      <c r="C69" s="578" t="s">
        <v>2588</v>
      </c>
      <c r="D69" s="578" t="s">
        <v>2589</v>
      </c>
      <c r="E69" s="578" t="s">
        <v>2590</v>
      </c>
      <c r="F69" s="578" t="s">
        <v>2591</v>
      </c>
      <c r="G69" s="578" t="s">
        <v>2592</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2720</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2554</v>
      </c>
      <c r="B79" s="528" t="s">
        <v>2721</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2722</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2607</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2724</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2726</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2727</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2698</v>
      </c>
      <c r="B1" s="1615"/>
      <c r="C1" s="1616" t="s">
        <v>2521</v>
      </c>
      <c r="D1" s="1617"/>
      <c r="E1" s="1626"/>
      <c r="F1" s="2578"/>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2318</v>
      </c>
      <c r="B2" s="1414" t="e">
        <f ca="1">IF(C2="——",ROUND(C37*D3/10000,0),ROUND(C37*D3/10000,0)-D2)</f>
        <v>#DIV/0!</v>
      </c>
      <c r="C2" s="2580"/>
      <c r="D2" s="1120" t="e">
        <f ca="1">SUMIF(INDIRECT("'"&amp;F2&amp;"'"&amp;"!A:A"),"承租人权益价值",INDIRECT("'"&amp;F2&amp;"'"&amp;"!c:c"))</f>
        <v>#REF!</v>
      </c>
      <c r="E2" s="2581" t="s">
        <v>2319</v>
      </c>
      <c r="F2" s="258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 ca="1">IF(C2="——",C37,ROUND(B2*10000/D3,0))</f>
        <v>#DIV/0!</v>
      </c>
      <c r="C3" s="400" t="s">
        <v>2635</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63" t="s">
        <v>2639</v>
      </c>
      <c r="AC4" s="3262" t="s">
        <v>2640</v>
      </c>
    </row>
    <row r="5" spans="1:29" ht="15">
      <c r="A5" s="404"/>
      <c r="B5" s="405"/>
      <c r="C5" s="3284" t="s">
        <v>2533</v>
      </c>
      <c r="D5" s="3285"/>
      <c r="E5" s="3291" t="s">
        <v>2534</v>
      </c>
      <c r="F5" s="3292"/>
      <c r="G5" s="3284" t="s">
        <v>2535</v>
      </c>
      <c r="H5" s="3285"/>
      <c r="I5" s="3284" t="s">
        <v>2536</v>
      </c>
      <c r="J5" s="3285"/>
      <c r="K5" s="610"/>
      <c r="L5" s="1126"/>
      <c r="M5" s="1127"/>
      <c r="N5" s="1127"/>
      <c r="O5" s="1127"/>
      <c r="P5" s="3271"/>
      <c r="Q5" s="3272"/>
      <c r="R5" s="3277"/>
      <c r="S5" s="3278"/>
      <c r="T5" s="3277"/>
      <c r="U5" s="3278"/>
      <c r="V5" s="3281"/>
      <c r="W5" s="3281"/>
      <c r="X5" s="1808"/>
      <c r="Y5" s="3277"/>
      <c r="Z5" s="3278"/>
      <c r="AA5" s="3263"/>
      <c r="AB5" s="3263"/>
      <c r="AC5" s="3263"/>
    </row>
    <row r="6" spans="1:29" ht="15.75" thickBot="1">
      <c r="A6" s="406"/>
      <c r="B6" s="407"/>
      <c r="C6" s="3282" t="s">
        <v>2537</v>
      </c>
      <c r="D6" s="3283"/>
      <c r="E6" s="3289" t="s">
        <v>2537</v>
      </c>
      <c r="F6" s="3290"/>
      <c r="G6" s="3282" t="s">
        <v>2537</v>
      </c>
      <c r="H6" s="3283"/>
      <c r="I6" s="3282" t="s">
        <v>2537</v>
      </c>
      <c r="J6" s="3283"/>
      <c r="K6" s="610" t="s">
        <v>2538</v>
      </c>
      <c r="L6" s="1126"/>
      <c r="M6" s="1127"/>
      <c r="N6" s="1127"/>
      <c r="O6" s="1127"/>
      <c r="P6" s="3273"/>
      <c r="Q6" s="3274"/>
      <c r="R6" s="3277"/>
      <c r="S6" s="3278"/>
      <c r="T6" s="3279"/>
      <c r="U6" s="3280"/>
      <c r="V6" s="3281"/>
      <c r="W6" s="3281"/>
      <c r="X6" s="1808"/>
      <c r="Y6" s="3279"/>
      <c r="Z6" s="3280"/>
      <c r="AA6" s="3264"/>
      <c r="AB6" s="3264"/>
      <c r="AC6" s="3264"/>
    </row>
    <row r="7" spans="1:29" s="117" customFormat="1" ht="15.75" thickBot="1">
      <c r="A7" s="408" t="s">
        <v>2539</v>
      </c>
      <c r="B7" s="409"/>
      <c r="C7" s="410">
        <f>'数据-取费表'!B2</f>
        <v>43619</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286" t="s">
        <v>2540</v>
      </c>
      <c r="Q7" s="3288"/>
      <c r="R7" s="766" t="s">
        <v>17</v>
      </c>
      <c r="S7" s="767">
        <f t="shared" ref="S7:S14" si="0">F7</f>
        <v>0</v>
      </c>
      <c r="T7" s="766" t="s">
        <v>17</v>
      </c>
      <c r="U7" s="767">
        <f t="shared" ref="U7:U14" si="1">H7</f>
        <v>0</v>
      </c>
      <c r="V7" s="766" t="s">
        <v>17</v>
      </c>
      <c r="W7" s="767">
        <f t="shared" ref="W7:W14" si="2">J7</f>
        <v>0</v>
      </c>
      <c r="X7" s="768"/>
      <c r="Y7" s="3286" t="s">
        <v>2540</v>
      </c>
      <c r="Z7" s="3287"/>
      <c r="AA7" s="769" t="e">
        <f>D7/F7</f>
        <v>#DIV/0!</v>
      </c>
      <c r="AB7" s="769" t="e">
        <f>D7/H7</f>
        <v>#DIV/0!</v>
      </c>
      <c r="AC7" s="769"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86" t="s">
        <v>2543</v>
      </c>
      <c r="Q8" s="3287"/>
      <c r="R8" s="766" t="s">
        <v>17</v>
      </c>
      <c r="S8" s="767">
        <f t="shared" si="0"/>
        <v>0</v>
      </c>
      <c r="T8" s="766" t="s">
        <v>17</v>
      </c>
      <c r="U8" s="767">
        <f t="shared" si="1"/>
        <v>0</v>
      </c>
      <c r="V8" s="766" t="s">
        <v>17</v>
      </c>
      <c r="W8" s="767">
        <f t="shared" si="2"/>
        <v>0</v>
      </c>
      <c r="X8" s="768"/>
      <c r="Y8" s="3286" t="s">
        <v>2543</v>
      </c>
      <c r="Z8" s="3287"/>
      <c r="AA8" s="769" t="e">
        <f t="shared" ref="AA8:AA34" si="3">D8/F8</f>
        <v>#DIV/0!</v>
      </c>
      <c r="AB8" s="769" t="e">
        <f t="shared" ref="AB8:AB34" si="4">D8/H8</f>
        <v>#DIV/0!</v>
      </c>
      <c r="AC8" s="769"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50" t="s">
        <v>2546</v>
      </c>
      <c r="Q9" s="1790" t="str">
        <f t="shared" ref="Q9:Q14" si="6">B9</f>
        <v>用途</v>
      </c>
      <c r="R9" s="766" t="s">
        <v>17</v>
      </c>
      <c r="S9" s="767">
        <f t="shared" si="0"/>
        <v>100</v>
      </c>
      <c r="T9" s="766" t="s">
        <v>17</v>
      </c>
      <c r="U9" s="767">
        <f t="shared" si="1"/>
        <v>100</v>
      </c>
      <c r="V9" s="766" t="s">
        <v>17</v>
      </c>
      <c r="W9" s="767">
        <f t="shared" si="2"/>
        <v>100</v>
      </c>
      <c r="X9" s="768"/>
      <c r="Y9" s="3081" t="s">
        <v>2547</v>
      </c>
      <c r="Z9" s="55" t="str">
        <f t="shared" ref="Z9:Z14" si="7">Q9</f>
        <v>用途</v>
      </c>
      <c r="AA9" s="769">
        <f t="shared" si="3"/>
        <v>1</v>
      </c>
      <c r="AB9" s="769">
        <f t="shared" si="4"/>
        <v>1</v>
      </c>
      <c r="AC9" s="769">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50"/>
      <c r="Q10" s="1790" t="str">
        <f t="shared" si="6"/>
        <v>土地使用年限（年）</v>
      </c>
      <c r="R10" s="766" t="s">
        <v>17</v>
      </c>
      <c r="S10" s="767">
        <f t="shared" si="0"/>
        <v>100</v>
      </c>
      <c r="T10" s="766" t="s">
        <v>17</v>
      </c>
      <c r="U10" s="767">
        <f t="shared" si="1"/>
        <v>100</v>
      </c>
      <c r="V10" s="766" t="s">
        <v>17</v>
      </c>
      <c r="W10" s="767">
        <f t="shared" si="2"/>
        <v>100</v>
      </c>
      <c r="X10" s="768"/>
      <c r="Y10" s="3081"/>
      <c r="Z10" s="55" t="str">
        <f t="shared" si="7"/>
        <v>土地使用年限（年）</v>
      </c>
      <c r="AA10" s="769">
        <f t="shared" si="3"/>
        <v>1</v>
      </c>
      <c r="AB10" s="769">
        <f t="shared" si="4"/>
        <v>1</v>
      </c>
      <c r="AC10" s="769">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50"/>
      <c r="Q11" s="1790">
        <f t="shared" si="6"/>
        <v>111</v>
      </c>
      <c r="R11" s="766" t="s">
        <v>17</v>
      </c>
      <c r="S11" s="767">
        <f t="shared" si="0"/>
        <v>100</v>
      </c>
      <c r="T11" s="766" t="s">
        <v>17</v>
      </c>
      <c r="U11" s="767">
        <f t="shared" si="1"/>
        <v>100</v>
      </c>
      <c r="V11" s="766" t="s">
        <v>17</v>
      </c>
      <c r="W11" s="767">
        <f t="shared" si="2"/>
        <v>100</v>
      </c>
      <c r="X11" s="768"/>
      <c r="Y11" s="3081"/>
      <c r="Z11" s="55">
        <f t="shared" si="7"/>
        <v>111</v>
      </c>
      <c r="AA11" s="769">
        <f t="shared" si="3"/>
        <v>1</v>
      </c>
      <c r="AB11" s="769">
        <f t="shared" si="4"/>
        <v>1</v>
      </c>
      <c r="AC11" s="769">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50"/>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769">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250"/>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769">
        <f t="shared" si="5"/>
        <v>1</v>
      </c>
    </row>
    <row r="14" spans="1:29" ht="85.5">
      <c r="A14" s="440" t="s">
        <v>2550</v>
      </c>
      <c r="B14" s="69" t="s">
        <v>2700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52" t="s">
        <v>2551</v>
      </c>
      <c r="Q14" s="1805" t="str">
        <f t="shared" si="6"/>
        <v>交通便捷度</v>
      </c>
      <c r="R14" s="770" t="s">
        <v>17</v>
      </c>
      <c r="S14" s="771">
        <f t="shared" si="0"/>
        <v>100</v>
      </c>
      <c r="T14" s="770" t="s">
        <v>17</v>
      </c>
      <c r="U14" s="771">
        <f t="shared" si="1"/>
        <v>100</v>
      </c>
      <c r="V14" s="770" t="s">
        <v>17</v>
      </c>
      <c r="W14" s="771">
        <f t="shared" si="2"/>
        <v>100</v>
      </c>
      <c r="X14" s="1808"/>
      <c r="Y14" s="3252" t="s">
        <v>2551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53"/>
      <c r="Q15" s="1805"/>
      <c r="R15" s="770"/>
      <c r="S15" s="771"/>
      <c r="T15" s="770"/>
      <c r="U15" s="771"/>
      <c r="V15" s="770"/>
      <c r="W15" s="771"/>
      <c r="X15" s="1808"/>
      <c r="Y15" s="3253"/>
      <c r="Z15" s="1809"/>
      <c r="AA15" s="1806">
        <v>1</v>
      </c>
      <c r="AB15" s="1806">
        <v>1</v>
      </c>
      <c r="AC15" s="1806">
        <v>1</v>
      </c>
    </row>
    <row r="16" spans="1:29" ht="42.75">
      <c r="A16" s="428"/>
      <c r="B16" s="451" t="s">
        <v>2679</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3"/>
      <c r="Q16" s="1805" t="str">
        <f>B16</f>
        <v>公共配套设施</v>
      </c>
      <c r="R16" s="770" t="s">
        <v>17</v>
      </c>
      <c r="S16" s="771">
        <f>F16</f>
        <v>100</v>
      </c>
      <c r="T16" s="770" t="s">
        <v>17</v>
      </c>
      <c r="U16" s="771">
        <f>H16</f>
        <v>100</v>
      </c>
      <c r="V16" s="770" t="s">
        <v>17</v>
      </c>
      <c r="W16" s="771">
        <f>J16</f>
        <v>100</v>
      </c>
      <c r="X16" s="1808"/>
      <c r="Y16" s="3253"/>
      <c r="Z16" s="1809" t="str">
        <f>Q16</f>
        <v>公共配套设施</v>
      </c>
      <c r="AA16" s="1806">
        <f t="shared" si="3"/>
        <v>1</v>
      </c>
      <c r="AB16" s="1806">
        <f t="shared" si="4"/>
        <v>1</v>
      </c>
      <c r="AC16" s="1806">
        <f t="shared" si="5"/>
        <v>1</v>
      </c>
    </row>
    <row r="17" spans="1:29" ht="15">
      <c r="A17" s="428"/>
      <c r="B17" s="456"/>
      <c r="C17" s="2602"/>
      <c r="D17" s="448"/>
      <c r="E17" s="447"/>
      <c r="F17" s="449"/>
      <c r="G17" s="447"/>
      <c r="H17" s="448"/>
      <c r="I17" s="447"/>
      <c r="J17" s="448"/>
      <c r="K17" s="615"/>
      <c r="L17" s="1136"/>
      <c r="M17" s="1127"/>
      <c r="N17" s="1127"/>
      <c r="O17" s="1135"/>
      <c r="P17" s="3253"/>
      <c r="Q17" s="1805"/>
      <c r="R17" s="770"/>
      <c r="S17" s="771"/>
      <c r="T17" s="770"/>
      <c r="U17" s="771"/>
      <c r="V17" s="770"/>
      <c r="W17" s="771"/>
      <c r="X17" s="1808"/>
      <c r="Y17" s="3253"/>
      <c r="Z17" s="1809"/>
      <c r="AA17" s="1806">
        <v>1</v>
      </c>
      <c r="AB17" s="1806">
        <v>1</v>
      </c>
      <c r="AC17" s="1806">
        <v>1</v>
      </c>
    </row>
    <row r="18" spans="1:29" ht="28.5">
      <c r="A18" s="428"/>
      <c r="B18" s="1380" t="s">
        <v>2680</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3"/>
      <c r="Q18" s="1805" t="str">
        <f>B18</f>
        <v>基础设施水平</v>
      </c>
      <c r="R18" s="770" t="s">
        <v>17</v>
      </c>
      <c r="S18" s="771">
        <f>F18</f>
        <v>100</v>
      </c>
      <c r="T18" s="770" t="s">
        <v>17</v>
      </c>
      <c r="U18" s="771">
        <f>H18</f>
        <v>100</v>
      </c>
      <c r="V18" s="770" t="s">
        <v>17</v>
      </c>
      <c r="W18" s="771">
        <f>J18</f>
        <v>100</v>
      </c>
      <c r="X18" s="1808"/>
      <c r="Y18" s="3253"/>
      <c r="Z18" s="1809" t="str">
        <f>Q18</f>
        <v>基础设施水平</v>
      </c>
      <c r="AA18" s="1806">
        <f t="shared" ref="AA18" si="8">D18/F18</f>
        <v>1</v>
      </c>
      <c r="AB18" s="1806">
        <f t="shared" ref="AB18" si="9">D18/H18</f>
        <v>1</v>
      </c>
      <c r="AC18" s="1806">
        <f t="shared" ref="AC18" si="10">D18/J18</f>
        <v>1</v>
      </c>
    </row>
    <row r="19" spans="1:29" ht="15">
      <c r="A19" s="428"/>
      <c r="B19" s="1380"/>
      <c r="C19" s="2602"/>
      <c r="D19" s="450"/>
      <c r="E19" s="2602"/>
      <c r="F19" s="453"/>
      <c r="G19" s="2602"/>
      <c r="H19" s="448"/>
      <c r="I19" s="447"/>
      <c r="J19" s="448"/>
      <c r="K19" s="1379"/>
      <c r="L19" s="1136"/>
      <c r="M19" s="1127"/>
      <c r="N19" s="1127"/>
      <c r="O19" s="1135"/>
      <c r="P19" s="3253"/>
      <c r="Q19" s="1805"/>
      <c r="R19" s="770"/>
      <c r="S19" s="771"/>
      <c r="T19" s="770"/>
      <c r="U19" s="771"/>
      <c r="V19" s="770"/>
      <c r="W19" s="771"/>
      <c r="X19" s="1808"/>
      <c r="Y19" s="3253"/>
      <c r="Z19" s="1809"/>
      <c r="AA19" s="1806">
        <v>1</v>
      </c>
      <c r="AB19" s="1806">
        <v>1</v>
      </c>
      <c r="AC19" s="1806">
        <v>1</v>
      </c>
    </row>
    <row r="20" spans="1:29" ht="57">
      <c r="A20" s="428"/>
      <c r="B20" s="451" t="s">
        <v>2701</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3"/>
      <c r="Q20" s="1805" t="str">
        <f>B20</f>
        <v>自然及人文环境</v>
      </c>
      <c r="R20" s="770" t="s">
        <v>17</v>
      </c>
      <c r="S20" s="771">
        <f>F20</f>
        <v>100</v>
      </c>
      <c r="T20" s="770" t="s">
        <v>17</v>
      </c>
      <c r="U20" s="771">
        <f>H20</f>
        <v>100</v>
      </c>
      <c r="V20" s="770" t="s">
        <v>17</v>
      </c>
      <c r="W20" s="771">
        <f>J20</f>
        <v>100</v>
      </c>
      <c r="X20" s="1808"/>
      <c r="Y20" s="325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53"/>
      <c r="Q21" s="1805"/>
      <c r="R21" s="770"/>
      <c r="S21" s="771"/>
      <c r="T21" s="770"/>
      <c r="U21" s="771"/>
      <c r="V21" s="770"/>
      <c r="W21" s="771"/>
      <c r="X21" s="1808"/>
      <c r="Y21" s="3253"/>
      <c r="Z21" s="1809"/>
      <c r="AA21" s="1806">
        <v>1</v>
      </c>
      <c r="AB21" s="1806">
        <v>1</v>
      </c>
      <c r="AC21" s="1806">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3"/>
      <c r="Q22" s="1805" t="str">
        <f>B22</f>
        <v>楼层</v>
      </c>
      <c r="R22" s="770" t="s">
        <v>17</v>
      </c>
      <c r="S22" s="771">
        <f>F22</f>
        <v>100</v>
      </c>
      <c r="T22" s="770" t="s">
        <v>17</v>
      </c>
      <c r="U22" s="771">
        <f>H22</f>
        <v>100</v>
      </c>
      <c r="V22" s="770" t="s">
        <v>17</v>
      </c>
      <c r="W22" s="771">
        <f>J22</f>
        <v>100</v>
      </c>
      <c r="X22" s="1808"/>
      <c r="Y22" s="3253"/>
      <c r="Z22" s="1809" t="str">
        <f>Q22</f>
        <v>楼层</v>
      </c>
      <c r="AA22" s="1806">
        <f t="shared" si="3"/>
        <v>1</v>
      </c>
      <c r="AB22" s="1806">
        <f t="shared" si="4"/>
        <v>1</v>
      </c>
      <c r="AC22" s="1806">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3"/>
      <c r="Q23" s="1805">
        <f>B23</f>
        <v>111</v>
      </c>
      <c r="R23" s="770" t="s">
        <v>17</v>
      </c>
      <c r="S23" s="771">
        <f>F23</f>
        <v>100</v>
      </c>
      <c r="T23" s="770" t="s">
        <v>17</v>
      </c>
      <c r="U23" s="771">
        <f>H23</f>
        <v>100</v>
      </c>
      <c r="V23" s="770" t="s">
        <v>17</v>
      </c>
      <c r="W23" s="771">
        <f>J23</f>
        <v>100</v>
      </c>
      <c r="X23" s="1808"/>
      <c r="Y23" s="3253"/>
      <c r="Z23" s="1809">
        <f>Q23</f>
        <v>111</v>
      </c>
      <c r="AA23" s="1806">
        <f t="shared" si="3"/>
        <v>1</v>
      </c>
      <c r="AB23" s="1806">
        <f t="shared" si="4"/>
        <v>1</v>
      </c>
      <c r="AC23" s="1806">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3"/>
      <c r="Q24" s="1805">
        <f t="shared" ref="Q24:Q34" si="11">B24</f>
        <v>111</v>
      </c>
      <c r="R24" s="770" t="s">
        <v>17</v>
      </c>
      <c r="S24" s="771">
        <f>F24</f>
        <v>100</v>
      </c>
      <c r="T24" s="770" t="s">
        <v>17</v>
      </c>
      <c r="U24" s="771">
        <f>H24</f>
        <v>100</v>
      </c>
      <c r="V24" s="770" t="s">
        <v>17</v>
      </c>
      <c r="W24" s="771">
        <f>J24</f>
        <v>100</v>
      </c>
      <c r="X24" s="1808"/>
      <c r="Y24" s="3253"/>
      <c r="Z24" s="1809">
        <f>Q24</f>
        <v>111</v>
      </c>
      <c r="AA24" s="1806">
        <f t="shared" si="3"/>
        <v>1</v>
      </c>
      <c r="AB24" s="1806">
        <f t="shared" si="4"/>
        <v>1</v>
      </c>
      <c r="AC24" s="1806">
        <f t="shared" si="5"/>
        <v>1</v>
      </c>
    </row>
    <row r="25" spans="1:29" s="117" customFormat="1" ht="15.75" thickBot="1">
      <c r="A25" s="431"/>
      <c r="B25" s="2594">
        <v>111</v>
      </c>
      <c r="C25" s="2692"/>
      <c r="D25" s="664">
        <v>100</v>
      </c>
      <c r="E25" s="2692"/>
      <c r="F25" s="665">
        <f>SUMIF(75:75,E25,76:76)-SUMIF(75:75,C25,76:76)+100</f>
        <v>100</v>
      </c>
      <c r="G25" s="2692"/>
      <c r="H25" s="664">
        <f>SUMIF(75:75,G25,76:76)-SUMIF(75:75,C25,76:76)+100</f>
        <v>100</v>
      </c>
      <c r="I25" s="2692"/>
      <c r="J25" s="664">
        <f>SUMIF(75:75,I25,76:76)-SUMIF(75:75,C25,76:76)+100</f>
        <v>100</v>
      </c>
      <c r="K25" s="613"/>
      <c r="L25" s="1128"/>
      <c r="M25" s="1129"/>
      <c r="N25" s="1129"/>
      <c r="O25" s="1130"/>
      <c r="P25" s="3253"/>
      <c r="Q25" s="1790">
        <f t="shared" si="11"/>
        <v>111</v>
      </c>
      <c r="R25" s="766" t="s">
        <v>17</v>
      </c>
      <c r="S25" s="767">
        <f>F25</f>
        <v>100</v>
      </c>
      <c r="T25" s="766" t="s">
        <v>17</v>
      </c>
      <c r="U25" s="767">
        <f>H25</f>
        <v>100</v>
      </c>
      <c r="V25" s="766" t="s">
        <v>17</v>
      </c>
      <c r="W25" s="767">
        <f>J25</f>
        <v>100</v>
      </c>
      <c r="X25" s="768"/>
      <c r="Y25" s="3253"/>
      <c r="Z25" s="55">
        <f>Q25</f>
        <v>111</v>
      </c>
      <c r="AA25" s="1806">
        <f>D25/F25</f>
        <v>1</v>
      </c>
      <c r="AB25" s="1806">
        <f>D25/H25</f>
        <v>1</v>
      </c>
      <c r="AC25" s="1806">
        <f>D25/J25</f>
        <v>1</v>
      </c>
    </row>
    <row r="26" spans="1:29" ht="28.5">
      <c r="A26" s="466" t="s">
        <v>2554</v>
      </c>
      <c r="B26" s="71" t="s">
        <v>2705</v>
      </c>
      <c r="C26" s="2673"/>
      <c r="D26" s="467">
        <v>100</v>
      </c>
      <c r="E26" s="2673"/>
      <c r="F26" s="666">
        <f>SUMIF(77:77,E26,78:78)-SUMIF(77:77,C26,78:78)+100</f>
        <v>100</v>
      </c>
      <c r="G26" s="2673"/>
      <c r="H26" s="467">
        <f>SUMIF(77:77,G26,78:78)-SUMIF(77:77,C26,78:78)+100</f>
        <v>100</v>
      </c>
      <c r="I26" s="2673"/>
      <c r="J26" s="467">
        <f>SUMIF(77:77,I26,78:78)-SUMIF(77:77,C26,78:78)+100</f>
        <v>100</v>
      </c>
      <c r="K26" s="612"/>
      <c r="L26" s="1136"/>
      <c r="M26" s="1127"/>
      <c r="N26" s="1127"/>
      <c r="O26" s="1135"/>
      <c r="P26" s="3310" t="s">
        <v>2556</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57" t="s">
        <v>2556</v>
      </c>
      <c r="Z26" s="1809" t="str">
        <f t="shared" ref="Z26:Z34" si="15">Q26</f>
        <v>公共部分装修</v>
      </c>
      <c r="AA26" s="1806">
        <f t="shared" si="3"/>
        <v>1</v>
      </c>
      <c r="AB26" s="1806">
        <f t="shared" si="4"/>
        <v>1</v>
      </c>
      <c r="AC26" s="1806">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7"/>
      <c r="Q27" s="772" t="str">
        <f t="shared" si="11"/>
        <v>成新率</v>
      </c>
      <c r="R27" s="773" t="s">
        <v>17</v>
      </c>
      <c r="S27" s="774" t="e">
        <f t="shared" si="12"/>
        <v>#N/A</v>
      </c>
      <c r="T27" s="773" t="s">
        <v>17</v>
      </c>
      <c r="U27" s="774" t="e">
        <f t="shared" si="13"/>
        <v>#N/A</v>
      </c>
      <c r="V27" s="773" t="s">
        <v>17</v>
      </c>
      <c r="W27" s="774" t="e">
        <f t="shared" si="14"/>
        <v>#N/A</v>
      </c>
      <c r="X27" s="775"/>
      <c r="Y27" s="3257"/>
      <c r="Z27" s="776" t="str">
        <f t="shared" si="15"/>
        <v>成新率</v>
      </c>
      <c r="AA27" s="1806" t="e">
        <f t="shared" si="3"/>
        <v>#N/A</v>
      </c>
      <c r="AB27" s="1806" t="e">
        <f t="shared" si="4"/>
        <v>#N/A</v>
      </c>
      <c r="AC27" s="1806"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7"/>
      <c r="Q28" s="1805" t="str">
        <f t="shared" si="11"/>
        <v>物业等级</v>
      </c>
      <c r="R28" s="770" t="s">
        <v>17</v>
      </c>
      <c r="S28" s="771">
        <f t="shared" si="12"/>
        <v>100</v>
      </c>
      <c r="T28" s="770" t="s">
        <v>17</v>
      </c>
      <c r="U28" s="771">
        <f t="shared" si="13"/>
        <v>100</v>
      </c>
      <c r="V28" s="770" t="s">
        <v>17</v>
      </c>
      <c r="W28" s="771">
        <f t="shared" si="14"/>
        <v>100</v>
      </c>
      <c r="X28" s="1808"/>
      <c r="Y28" s="3257"/>
      <c r="Z28" s="1809" t="str">
        <f t="shared" si="15"/>
        <v>物业等级</v>
      </c>
      <c r="AA28" s="1806">
        <f t="shared" si="3"/>
        <v>1</v>
      </c>
      <c r="AB28" s="1806">
        <f t="shared" si="4"/>
        <v>1</v>
      </c>
      <c r="AC28" s="1806">
        <f t="shared" si="5"/>
        <v>1</v>
      </c>
    </row>
    <row r="29" spans="1:29" ht="15">
      <c r="A29" s="472"/>
      <c r="B29" s="422" t="s">
        <v>2728</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57"/>
      <c r="Q29" s="1805" t="str">
        <f t="shared" si="11"/>
        <v>有无电梯</v>
      </c>
      <c r="R29" s="770" t="s">
        <v>17</v>
      </c>
      <c r="S29" s="771">
        <f t="shared" si="12"/>
        <v>100</v>
      </c>
      <c r="T29" s="770" t="s">
        <v>17</v>
      </c>
      <c r="U29" s="771">
        <f t="shared" si="13"/>
        <v>100</v>
      </c>
      <c r="V29" s="770" t="s">
        <v>17</v>
      </c>
      <c r="W29" s="771">
        <f t="shared" si="14"/>
        <v>100</v>
      </c>
      <c r="X29" s="1808"/>
      <c r="Y29" s="3257"/>
      <c r="Z29" s="1809" t="str">
        <f t="shared" si="15"/>
        <v>有无电梯</v>
      </c>
      <c r="AA29" s="1806">
        <f t="shared" si="3"/>
        <v>1</v>
      </c>
      <c r="AB29" s="1806">
        <f t="shared" si="4"/>
        <v>1</v>
      </c>
      <c r="AC29" s="1806">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7"/>
      <c r="Q30" s="1805" t="str">
        <f t="shared" si="11"/>
        <v>建筑面积</v>
      </c>
      <c r="R30" s="770" t="s">
        <v>17</v>
      </c>
      <c r="S30" s="771" t="e">
        <f t="shared" si="12"/>
        <v>#N/A</v>
      </c>
      <c r="T30" s="770" t="s">
        <v>17</v>
      </c>
      <c r="U30" s="771" t="e">
        <f t="shared" si="13"/>
        <v>#N/A</v>
      </c>
      <c r="V30" s="770" t="s">
        <v>17</v>
      </c>
      <c r="W30" s="771" t="e">
        <f t="shared" si="14"/>
        <v>#N/A</v>
      </c>
      <c r="X30" s="1808"/>
      <c r="Y30" s="3257"/>
      <c r="Z30" s="1809" t="str">
        <f t="shared" si="15"/>
        <v>建筑面积</v>
      </c>
      <c r="AA30" s="1806" t="e">
        <f t="shared" si="3"/>
        <v>#N/A</v>
      </c>
      <c r="AB30" s="1806" t="e">
        <f t="shared" si="4"/>
        <v>#N/A</v>
      </c>
      <c r="AC30" s="1806" t="e">
        <f t="shared" si="5"/>
        <v>#N/A</v>
      </c>
    </row>
    <row r="31" spans="1:29" s="117" customFormat="1" ht="15">
      <c r="A31" s="473"/>
      <c r="B31" s="422" t="s">
        <v>2730</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57"/>
      <c r="Q31" s="1790" t="str">
        <f t="shared" si="11"/>
        <v>是否封闭</v>
      </c>
      <c r="R31" s="766" t="s">
        <v>17</v>
      </c>
      <c r="S31" s="767">
        <f t="shared" si="12"/>
        <v>100</v>
      </c>
      <c r="T31" s="766" t="s">
        <v>17</v>
      </c>
      <c r="U31" s="767">
        <f t="shared" si="13"/>
        <v>100</v>
      </c>
      <c r="V31" s="766" t="s">
        <v>17</v>
      </c>
      <c r="W31" s="767">
        <f t="shared" si="14"/>
        <v>100</v>
      </c>
      <c r="X31" s="768"/>
      <c r="Y31" s="3257"/>
      <c r="Z31" s="55" t="str">
        <f t="shared" si="15"/>
        <v>是否封闭</v>
      </c>
      <c r="AA31" s="769">
        <f t="shared" si="3"/>
        <v>1</v>
      </c>
      <c r="AB31" s="769">
        <f t="shared" si="4"/>
        <v>1</v>
      </c>
      <c r="AC31" s="769">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7" t="s">
        <v>2556</v>
      </c>
      <c r="Q32" s="1805">
        <f t="shared" si="11"/>
        <v>111</v>
      </c>
      <c r="R32" s="770" t="s">
        <v>17</v>
      </c>
      <c r="S32" s="771">
        <f t="shared" si="12"/>
        <v>100</v>
      </c>
      <c r="T32" s="770" t="s">
        <v>17</v>
      </c>
      <c r="U32" s="771">
        <f t="shared" si="13"/>
        <v>100</v>
      </c>
      <c r="V32" s="770" t="s">
        <v>17</v>
      </c>
      <c r="W32" s="771">
        <f t="shared" si="14"/>
        <v>100</v>
      </c>
      <c r="X32" s="1808"/>
      <c r="Y32" s="3257" t="s">
        <v>2556</v>
      </c>
      <c r="Z32" s="1809">
        <f t="shared" si="15"/>
        <v>111</v>
      </c>
      <c r="AA32" s="1806">
        <f t="shared" si="3"/>
        <v>1</v>
      </c>
      <c r="AB32" s="1806">
        <f t="shared" si="4"/>
        <v>1</v>
      </c>
      <c r="AC32" s="1806">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7"/>
      <c r="Q33" s="1805">
        <f t="shared" si="11"/>
        <v>111</v>
      </c>
      <c r="R33" s="770" t="s">
        <v>17</v>
      </c>
      <c r="S33" s="771">
        <f t="shared" si="12"/>
        <v>100</v>
      </c>
      <c r="T33" s="770" t="s">
        <v>17</v>
      </c>
      <c r="U33" s="771">
        <f t="shared" si="13"/>
        <v>100</v>
      </c>
      <c r="V33" s="770" t="s">
        <v>17</v>
      </c>
      <c r="W33" s="771">
        <f t="shared" si="14"/>
        <v>100</v>
      </c>
      <c r="X33" s="1808"/>
      <c r="Y33" s="3257"/>
      <c r="Z33" s="1809">
        <f t="shared" si="15"/>
        <v>111</v>
      </c>
      <c r="AA33" s="1806">
        <f t="shared" si="3"/>
        <v>1</v>
      </c>
      <c r="AB33" s="1806">
        <f t="shared" si="4"/>
        <v>1</v>
      </c>
      <c r="AC33" s="1806">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57"/>
      <c r="Q34" s="1805">
        <f t="shared" si="11"/>
        <v>111</v>
      </c>
      <c r="R34" s="770" t="s">
        <v>17</v>
      </c>
      <c r="S34" s="771">
        <f t="shared" si="12"/>
        <v>100</v>
      </c>
      <c r="T34" s="770" t="s">
        <v>17</v>
      </c>
      <c r="U34" s="771">
        <f t="shared" si="13"/>
        <v>100</v>
      </c>
      <c r="V34" s="770" t="s">
        <v>17</v>
      </c>
      <c r="W34" s="771">
        <f t="shared" si="14"/>
        <v>100</v>
      </c>
      <c r="X34" s="1808"/>
      <c r="Y34" s="3257"/>
      <c r="Z34" s="1809">
        <f t="shared" si="15"/>
        <v>111</v>
      </c>
      <c r="AA34" s="1806">
        <f t="shared" si="3"/>
        <v>1</v>
      </c>
      <c r="AB34" s="1806">
        <f t="shared" si="4"/>
        <v>1</v>
      </c>
      <c r="AC34" s="1806">
        <f t="shared" si="5"/>
        <v>1</v>
      </c>
    </row>
    <row r="35" spans="1:29" ht="15">
      <c r="A35" s="479" t="s">
        <v>2568</v>
      </c>
      <c r="B35" s="480"/>
      <c r="C35" s="1403" t="s">
        <v>1</v>
      </c>
      <c r="D35" s="1404"/>
      <c r="E35" s="1405"/>
      <c r="F35" s="1406"/>
      <c r="G35" s="1407"/>
      <c r="H35" s="1408"/>
      <c r="I35" s="1405"/>
      <c r="J35" s="1408"/>
      <c r="K35" s="779"/>
      <c r="L35" s="1139"/>
      <c r="M35" s="1140"/>
      <c r="N35" s="1127"/>
      <c r="O35" s="1140"/>
      <c r="P35" s="3250" t="str">
        <f>A35</f>
        <v>成交单价（元/平方米）</v>
      </c>
      <c r="Q35" s="3250"/>
      <c r="R35" s="3251">
        <f>E35</f>
        <v>0</v>
      </c>
      <c r="S35" s="3251"/>
      <c r="T35" s="3251">
        <f>G35</f>
        <v>0</v>
      </c>
      <c r="U35" s="3251"/>
      <c r="V35" s="3251">
        <f>I35</f>
        <v>0</v>
      </c>
      <c r="W35" s="3251"/>
      <c r="X35" s="755"/>
      <c r="Y35" s="777"/>
      <c r="Z35" s="755"/>
      <c r="AA35" s="755"/>
      <c r="AB35" s="755"/>
      <c r="AC35" s="755"/>
    </row>
    <row r="36" spans="1:29" ht="15.75" thickBot="1">
      <c r="A36" s="486" t="s">
        <v>2660</v>
      </c>
      <c r="B36" s="487"/>
      <c r="C36" s="1409" t="e">
        <f>R37</f>
        <v>#DIV/0!</v>
      </c>
      <c r="D36" s="1410"/>
      <c r="E36" s="1411" t="e">
        <f>R36</f>
        <v>#DIV/0!</v>
      </c>
      <c r="F36" s="1411"/>
      <c r="G36" s="1409" t="e">
        <f>T36</f>
        <v>#DIV/0!</v>
      </c>
      <c r="H36" s="1410"/>
      <c r="I36" s="1411" t="e">
        <f>V36</f>
        <v>#DIV/0!</v>
      </c>
      <c r="J36" s="1410"/>
      <c r="K36" s="780"/>
      <c r="L36" s="1139"/>
      <c r="M36" s="1140"/>
      <c r="N36" s="1127"/>
      <c r="O36" s="1140"/>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5"/>
      <c r="Y36" s="755"/>
      <c r="Z36" s="755"/>
      <c r="AA36" s="755"/>
      <c r="AB36" s="755"/>
      <c r="AC36" s="755"/>
    </row>
    <row r="37" spans="1:29" ht="15.75" thickBot="1">
      <c r="A37" s="492" t="s">
        <v>2661</v>
      </c>
      <c r="B37" s="493"/>
      <c r="C37" s="1413" t="e">
        <f>R37</f>
        <v>#DIV/0!</v>
      </c>
      <c r="D37" s="1413"/>
      <c r="E37" s="1413"/>
      <c r="F37" s="1413"/>
      <c r="G37" s="1413"/>
      <c r="H37" s="1413"/>
      <c r="I37" s="1413"/>
      <c r="J37" s="1413"/>
      <c r="K37" s="781"/>
      <c r="L37" s="1139"/>
      <c r="M37" s="1140"/>
      <c r="N37" s="1140"/>
      <c r="O37" s="1140"/>
      <c r="P37" s="3247" t="str">
        <f>A37</f>
        <v>估价对象XX用房的比较价值（楼面单价，元/平方米）</v>
      </c>
      <c r="Q37" s="3248"/>
      <c r="R37" s="3249" t="e">
        <f>IF(F1="售价",ROUND(AVERAGE(R36:V36),0),ROUND(AVERAGE(R36:V36),1))</f>
        <v>#DIV/0!</v>
      </c>
      <c r="S37" s="3249"/>
      <c r="T37" s="3249"/>
      <c r="U37" s="3249"/>
      <c r="V37" s="3249"/>
      <c r="W37" s="3249"/>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2665</v>
      </c>
      <c r="B45" s="755"/>
      <c r="C45" s="760"/>
      <c r="D45" s="760"/>
      <c r="E45" s="760"/>
      <c r="F45" s="761"/>
      <c r="G45" s="761"/>
      <c r="H45" s="760"/>
      <c r="I45" s="760"/>
      <c r="J45" s="760"/>
      <c r="K45" s="762"/>
      <c r="L45" s="763"/>
      <c r="M45" s="760"/>
      <c r="N45" s="760"/>
      <c r="O45" s="760"/>
      <c r="P45" s="503"/>
      <c r="Q45" s="504"/>
    </row>
    <row r="46" spans="1:29" s="508" customFormat="1" ht="15">
      <c r="A46" s="505" t="s">
        <v>2539</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2579</v>
      </c>
      <c r="B51" s="528" t="s">
        <v>2545</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2680</v>
      </c>
      <c r="C65" s="659" t="s">
        <v>2666</v>
      </c>
      <c r="D65" s="659" t="s">
        <v>2667</v>
      </c>
      <c r="E65" s="659" t="s">
        <v>2668</v>
      </c>
      <c r="F65" s="659" t="s">
        <v>2669</v>
      </c>
      <c r="G65" s="659" t="s">
        <v>2670</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2720</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2554</v>
      </c>
      <c r="B77" s="528" t="s">
        <v>2607</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2724</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2732</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2734</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1"/>
      <c r="E1" s="751"/>
      <c r="F1" s="750" t="s">
        <v>2634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2318</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2320</v>
      </c>
      <c r="B3" s="609" t="e">
        <f>ROUND(IF(D3="",B2*10000/'数据-汇总表'!E3,B2*10000/D3),0)</f>
        <v>#DIV/0!</v>
      </c>
      <c r="C3" s="247" t="s">
        <v>2737</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63" t="s">
        <v>2639</v>
      </c>
      <c r="AC4" s="3262" t="s">
        <v>2640</v>
      </c>
    </row>
    <row r="5" spans="1:30" ht="15">
      <c r="A5" s="404"/>
      <c r="B5" s="405"/>
      <c r="C5" s="3284" t="s">
        <v>2533</v>
      </c>
      <c r="D5" s="3285"/>
      <c r="E5" s="3291" t="s">
        <v>2534</v>
      </c>
      <c r="F5" s="3292"/>
      <c r="G5" s="3284" t="s">
        <v>2535</v>
      </c>
      <c r="H5" s="3285"/>
      <c r="I5" s="3284" t="s">
        <v>2536</v>
      </c>
      <c r="J5" s="3285"/>
      <c r="K5" s="610"/>
      <c r="L5" s="1126"/>
      <c r="M5" s="1127"/>
      <c r="N5" s="1127"/>
      <c r="O5" s="1127"/>
      <c r="P5" s="3271"/>
      <c r="Q5" s="3272"/>
      <c r="R5" s="3277"/>
      <c r="S5" s="3278"/>
      <c r="T5" s="3277"/>
      <c r="U5" s="3278"/>
      <c r="V5" s="3281"/>
      <c r="W5" s="3281"/>
      <c r="X5" s="1808"/>
      <c r="Y5" s="3277"/>
      <c r="Z5" s="3278"/>
      <c r="AA5" s="3263"/>
      <c r="AB5" s="3263"/>
      <c r="AC5" s="3263"/>
    </row>
    <row r="6" spans="1:30" ht="15.75" thickBot="1">
      <c r="A6" s="406"/>
      <c r="B6" s="407"/>
      <c r="C6" s="3282" t="s">
        <v>2537</v>
      </c>
      <c r="D6" s="3283"/>
      <c r="E6" s="3289" t="s">
        <v>2537</v>
      </c>
      <c r="F6" s="3290"/>
      <c r="G6" s="3282" t="s">
        <v>2537</v>
      </c>
      <c r="H6" s="3283"/>
      <c r="I6" s="3282" t="s">
        <v>2537</v>
      </c>
      <c r="J6" s="3283"/>
      <c r="K6" s="610" t="s">
        <v>2538</v>
      </c>
      <c r="L6" s="1126"/>
      <c r="M6" s="1127"/>
      <c r="N6" s="1127"/>
      <c r="O6" s="1127"/>
      <c r="P6" s="3273"/>
      <c r="Q6" s="3274"/>
      <c r="R6" s="3277"/>
      <c r="S6" s="3278"/>
      <c r="T6" s="3279"/>
      <c r="U6" s="3280"/>
      <c r="V6" s="3281"/>
      <c r="W6" s="3281"/>
      <c r="X6" s="1808"/>
      <c r="Y6" s="3279"/>
      <c r="Z6" s="3280"/>
      <c r="AA6" s="3264"/>
      <c r="AB6" s="3264"/>
      <c r="AC6" s="3264"/>
    </row>
    <row r="7" spans="1:30" s="117" customFormat="1" ht="15.75" thickBot="1">
      <c r="A7" s="408" t="s">
        <v>2539</v>
      </c>
      <c r="B7" s="409"/>
      <c r="C7" s="410">
        <f>'数据-取费表'!B2</f>
        <v>43619</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8"/>
      <c r="M7" s="1129"/>
      <c r="N7" s="1129"/>
      <c r="O7" s="1129"/>
      <c r="P7" s="3286" t="s">
        <v>2540</v>
      </c>
      <c r="Q7" s="3288"/>
      <c r="R7" s="766" t="s">
        <v>17</v>
      </c>
      <c r="S7" s="767">
        <f t="shared" ref="S7:S15" si="0">F7</f>
        <v>0</v>
      </c>
      <c r="T7" s="766" t="s">
        <v>17</v>
      </c>
      <c r="U7" s="767">
        <f t="shared" ref="U7:U15" si="1">H7</f>
        <v>0</v>
      </c>
      <c r="V7" s="766" t="s">
        <v>17</v>
      </c>
      <c r="W7" s="767">
        <f t="shared" ref="W7:W15" si="2">J7</f>
        <v>0</v>
      </c>
      <c r="X7" s="768"/>
      <c r="Y7" s="3286" t="s">
        <v>2540</v>
      </c>
      <c r="Z7" s="3287"/>
      <c r="AA7" s="769" t="e">
        <f>D7/F7</f>
        <v>#DIV/0!</v>
      </c>
      <c r="AB7" s="769" t="e">
        <f>D7/H7</f>
        <v>#DIV/0!</v>
      </c>
      <c r="AC7" s="769"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86" t="s">
        <v>2543</v>
      </c>
      <c r="Q8" s="3287"/>
      <c r="R8" s="766" t="s">
        <v>17</v>
      </c>
      <c r="S8" s="767">
        <f t="shared" si="0"/>
        <v>0</v>
      </c>
      <c r="T8" s="766" t="s">
        <v>17</v>
      </c>
      <c r="U8" s="767">
        <f t="shared" si="1"/>
        <v>0</v>
      </c>
      <c r="V8" s="766" t="s">
        <v>17</v>
      </c>
      <c r="W8" s="767">
        <f t="shared" si="2"/>
        <v>0</v>
      </c>
      <c r="X8" s="768"/>
      <c r="Y8" s="3286" t="s">
        <v>2543</v>
      </c>
      <c r="Z8" s="3287"/>
      <c r="AA8" s="769" t="e">
        <f t="shared" ref="AA8:AA45" si="3">D8/F8</f>
        <v>#DIV/0!</v>
      </c>
      <c r="AB8" s="769" t="e">
        <f t="shared" ref="AB8:AB45" si="4">D8/H8</f>
        <v>#DIV/0!</v>
      </c>
      <c r="AC8" s="769" t="e">
        <f t="shared" ref="AC8:AC45" si="5">D8/J8</f>
        <v>#DIV/0!</v>
      </c>
    </row>
    <row r="9" spans="1:30" s="117" customFormat="1">
      <c r="A9" s="415" t="s">
        <v>2544</v>
      </c>
      <c r="B9" s="71" t="s">
        <v>2545</v>
      </c>
      <c r="C9" s="2693"/>
      <c r="D9" s="135">
        <v>100</v>
      </c>
      <c r="E9" s="2693"/>
      <c r="F9" s="135">
        <f>SUMIF(75:75,E9,76:76)-SUMIF(75:75,C9,76:76)+100</f>
        <v>100</v>
      </c>
      <c r="G9" s="2693"/>
      <c r="H9" s="135">
        <f>SUMIF(75:75,G9,76:76)-SUMIF(75:75,C9,76:76)+100</f>
        <v>100</v>
      </c>
      <c r="I9" s="2693"/>
      <c r="J9" s="135">
        <f>SUMIF(75:75,I9,76:76)-SUMIF(75:75,C9,76:76)+100</f>
        <v>100</v>
      </c>
      <c r="K9" s="611"/>
      <c r="L9" s="1128"/>
      <c r="M9" s="1129"/>
      <c r="N9" s="1129"/>
      <c r="O9" s="1130"/>
      <c r="P9" s="3250"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769">
        <f t="shared" si="5"/>
        <v>1</v>
      </c>
    </row>
    <row r="10" spans="1:30" s="427" customFormat="1" ht="27">
      <c r="A10" s="421"/>
      <c r="B10" s="422" t="s">
        <v>2548</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50"/>
      <c r="Q10" s="1790" t="str">
        <f t="shared" si="6"/>
        <v>土地使用年限（年）</v>
      </c>
      <c r="R10" s="766" t="s">
        <v>17</v>
      </c>
      <c r="S10" s="767">
        <f t="shared" si="0"/>
        <v>124</v>
      </c>
      <c r="T10" s="766" t="s">
        <v>17</v>
      </c>
      <c r="U10" s="767">
        <f t="shared" si="1"/>
        <v>124</v>
      </c>
      <c r="V10" s="766" t="s">
        <v>17</v>
      </c>
      <c r="W10" s="767">
        <f t="shared" si="2"/>
        <v>124</v>
      </c>
      <c r="X10" s="768"/>
      <c r="Y10" s="3081"/>
      <c r="Z10" s="55" t="str">
        <f t="shared" si="7"/>
        <v>土地使用年限（年）</v>
      </c>
      <c r="AA10" s="769">
        <f t="shared" si="3"/>
        <v>0.80645161290322576</v>
      </c>
      <c r="AB10" s="769">
        <f t="shared" si="4"/>
        <v>0.80645161290322576</v>
      </c>
      <c r="AC10" s="769">
        <f t="shared" si="5"/>
        <v>0.80645161290322576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50"/>
      <c r="Q11" s="1790" t="str">
        <f t="shared" si="6"/>
        <v>容积率</v>
      </c>
      <c r="R11" s="766" t="s">
        <v>17</v>
      </c>
      <c r="S11" s="767" t="e">
        <f t="shared" si="0"/>
        <v>#N/A</v>
      </c>
      <c r="T11" s="766" t="s">
        <v>17</v>
      </c>
      <c r="U11" s="767" t="e">
        <f t="shared" si="1"/>
        <v>#N/A</v>
      </c>
      <c r="V11" s="766" t="s">
        <v>17</v>
      </c>
      <c r="W11" s="767" t="e">
        <f t="shared" si="2"/>
        <v>#N/A</v>
      </c>
      <c r="X11" s="768"/>
      <c r="Y11" s="3081"/>
      <c r="Z11" s="55" t="str">
        <f t="shared" si="7"/>
        <v>容积率</v>
      </c>
      <c r="AA11" s="769" t="e">
        <f t="shared" si="3"/>
        <v>#N/A</v>
      </c>
      <c r="AB11" s="769" t="e">
        <f t="shared" si="4"/>
        <v>#N/A</v>
      </c>
      <c r="AC11" s="769" t="e">
        <f t="shared" si="5"/>
        <v>#N/A</v>
      </c>
    </row>
    <row r="12" spans="1:30" s="117" customFormat="1" ht="15">
      <c r="A12" s="431"/>
      <c r="B12" s="2594" t="s">
        <v>2738</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50"/>
      <c r="Q12" s="1790" t="str">
        <f t="shared" si="6"/>
        <v>配建</v>
      </c>
      <c r="R12" s="766" t="s">
        <v>17</v>
      </c>
      <c r="S12" s="767">
        <f t="shared" si="0"/>
        <v>100</v>
      </c>
      <c r="T12" s="766" t="s">
        <v>17</v>
      </c>
      <c r="U12" s="767">
        <f t="shared" si="1"/>
        <v>100</v>
      </c>
      <c r="V12" s="766" t="s">
        <v>17</v>
      </c>
      <c r="W12" s="767">
        <f t="shared" si="2"/>
        <v>100</v>
      </c>
      <c r="X12" s="768"/>
      <c r="Y12" s="3081"/>
      <c r="Z12" s="55" t="str">
        <f t="shared" si="7"/>
        <v>配建</v>
      </c>
      <c r="AA12" s="769">
        <f>D12/F12</f>
        <v>1</v>
      </c>
      <c r="AB12" s="769">
        <f>D12/H12</f>
        <v>1</v>
      </c>
      <c r="AC12" s="769">
        <f>D12/J12</f>
        <v>1</v>
      </c>
    </row>
    <row r="13" spans="1:30" ht="15">
      <c r="A13" s="428"/>
      <c r="B13" s="2594">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50"/>
      <c r="Q13" s="1790">
        <f t="shared" si="6"/>
        <v>111</v>
      </c>
      <c r="R13" s="766" t="s">
        <v>17</v>
      </c>
      <c r="S13" s="767">
        <f t="shared" si="0"/>
        <v>100</v>
      </c>
      <c r="T13" s="766" t="s">
        <v>17</v>
      </c>
      <c r="U13" s="767">
        <f t="shared" si="1"/>
        <v>100</v>
      </c>
      <c r="V13" s="766" t="s">
        <v>17</v>
      </c>
      <c r="W13" s="767">
        <f t="shared" si="2"/>
        <v>100</v>
      </c>
      <c r="X13" s="768"/>
      <c r="Y13" s="3081"/>
      <c r="Z13" s="55">
        <f t="shared" si="7"/>
        <v>111</v>
      </c>
      <c r="AA13" s="769">
        <f>D13/F13</f>
        <v>1</v>
      </c>
      <c r="AB13" s="769">
        <f>D13/H13</f>
        <v>1</v>
      </c>
      <c r="AC13" s="769">
        <f>D13/J13</f>
        <v>1</v>
      </c>
    </row>
    <row r="14" spans="1:30" ht="15.75" thickBot="1">
      <c r="A14" s="436"/>
      <c r="B14" s="2596">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50"/>
      <c r="Q14" s="1790">
        <f t="shared" si="6"/>
        <v>111</v>
      </c>
      <c r="R14" s="766" t="s">
        <v>17</v>
      </c>
      <c r="S14" s="767">
        <f t="shared" si="0"/>
        <v>100</v>
      </c>
      <c r="T14" s="766" t="s">
        <v>17</v>
      </c>
      <c r="U14" s="767">
        <f t="shared" si="1"/>
        <v>100</v>
      </c>
      <c r="V14" s="766" t="s">
        <v>17</v>
      </c>
      <c r="W14" s="767">
        <f t="shared" si="2"/>
        <v>100</v>
      </c>
      <c r="X14" s="768"/>
      <c r="Y14" s="3081"/>
      <c r="Z14" s="55">
        <f t="shared" si="7"/>
        <v>111</v>
      </c>
      <c r="AA14" s="769">
        <f>D14/F14</f>
        <v>1</v>
      </c>
      <c r="AB14" s="769">
        <f>D14/H14</f>
        <v>1</v>
      </c>
      <c r="AC14" s="769">
        <f>D14/J14</f>
        <v>1</v>
      </c>
    </row>
    <row r="15" spans="1:30" ht="99.75">
      <c r="A15" s="440" t="s">
        <v>2550</v>
      </c>
      <c r="B15" s="69" t="s">
        <v>2078</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52" t="s">
        <v>2551</v>
      </c>
      <c r="Q15" s="1805" t="str">
        <f t="shared" si="6"/>
        <v>居住社区成熟度</v>
      </c>
      <c r="R15" s="770" t="s">
        <v>17</v>
      </c>
      <c r="S15" s="771">
        <f t="shared" si="0"/>
        <v>100</v>
      </c>
      <c r="T15" s="770" t="s">
        <v>17</v>
      </c>
      <c r="U15" s="771">
        <f t="shared" si="1"/>
        <v>100</v>
      </c>
      <c r="V15" s="770" t="s">
        <v>17</v>
      </c>
      <c r="W15" s="771">
        <f t="shared" si="2"/>
        <v>100</v>
      </c>
      <c r="X15" s="1808"/>
      <c r="Y15" s="3252" t="s">
        <v>2551</v>
      </c>
      <c r="Z15" s="1809" t="str">
        <f t="shared" si="7"/>
        <v>居住社区成熟度</v>
      </c>
      <c r="AA15" s="1806">
        <f t="shared" si="3"/>
        <v>1</v>
      </c>
      <c r="AB15" s="1806">
        <f t="shared" si="4"/>
        <v>1</v>
      </c>
      <c r="AC15" s="1806">
        <f t="shared" si="5"/>
        <v>1</v>
      </c>
    </row>
    <row r="16" spans="1:30" ht="15">
      <c r="A16" s="428"/>
      <c r="B16" s="446"/>
      <c r="C16" s="447"/>
      <c r="D16" s="448"/>
      <c r="E16" s="2599"/>
      <c r="F16" s="448"/>
      <c r="G16" s="2599"/>
      <c r="H16" s="450"/>
      <c r="I16" s="2598"/>
      <c r="J16" s="448"/>
      <c r="K16" s="671"/>
      <c r="L16" s="1136"/>
      <c r="M16" s="1127"/>
      <c r="N16" s="1127"/>
      <c r="O16" s="1135"/>
      <c r="P16" s="3253"/>
      <c r="Q16" s="1805"/>
      <c r="R16" s="770"/>
      <c r="S16" s="771"/>
      <c r="T16" s="770"/>
      <c r="U16" s="771"/>
      <c r="V16" s="770"/>
      <c r="W16" s="771"/>
      <c r="X16" s="1808"/>
      <c r="Y16" s="3253"/>
      <c r="Z16" s="1809"/>
      <c r="AA16" s="1806">
        <v>1</v>
      </c>
      <c r="AB16" s="1806">
        <v>1</v>
      </c>
      <c r="AC16" s="1806">
        <v>1</v>
      </c>
    </row>
    <row r="17" spans="1:29" ht="71.25">
      <c r="A17" s="428"/>
      <c r="B17" s="451" t="s">
        <v>2644</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53"/>
      <c r="Q17" s="1805" t="str">
        <f>B17</f>
        <v>商业繁华度</v>
      </c>
      <c r="R17" s="770" t="s">
        <v>17</v>
      </c>
      <c r="S17" s="771">
        <f>F17</f>
        <v>100</v>
      </c>
      <c r="T17" s="770" t="s">
        <v>17</v>
      </c>
      <c r="U17" s="771">
        <f>H17</f>
        <v>100</v>
      </c>
      <c r="V17" s="770" t="s">
        <v>17</v>
      </c>
      <c r="W17" s="771">
        <f>J17</f>
        <v>100</v>
      </c>
      <c r="X17" s="1808"/>
      <c r="Y17" s="3253"/>
      <c r="Z17" s="1809" t="str">
        <f>Q17</f>
        <v>商业繁华度</v>
      </c>
      <c r="AA17" s="1806">
        <f t="shared" si="3"/>
        <v>1</v>
      </c>
      <c r="AB17" s="1806">
        <f t="shared" si="4"/>
        <v>1</v>
      </c>
      <c r="AC17" s="1806">
        <f t="shared" si="5"/>
        <v>1</v>
      </c>
    </row>
    <row r="18" spans="1:29" ht="15">
      <c r="A18" s="428"/>
      <c r="B18" s="456"/>
      <c r="C18" s="2602"/>
      <c r="D18" s="450"/>
      <c r="E18" s="2604"/>
      <c r="F18" s="450"/>
      <c r="G18" s="2604"/>
      <c r="H18" s="448"/>
      <c r="I18" s="2603"/>
      <c r="J18" s="448"/>
      <c r="K18" s="671"/>
      <c r="L18" s="1136"/>
      <c r="M18" s="1127"/>
      <c r="N18" s="1127"/>
      <c r="O18" s="1135"/>
      <c r="P18" s="3253"/>
      <c r="Q18" s="1805"/>
      <c r="R18" s="770"/>
      <c r="S18" s="771"/>
      <c r="T18" s="770"/>
      <c r="U18" s="771"/>
      <c r="V18" s="770"/>
      <c r="W18" s="771"/>
      <c r="X18" s="1808"/>
      <c r="Y18" s="3253"/>
      <c r="Z18" s="1809"/>
      <c r="AA18" s="1806">
        <v>1</v>
      </c>
      <c r="AB18" s="1806">
        <v>1</v>
      </c>
      <c r="AC18" s="1806">
        <v>1</v>
      </c>
    </row>
    <row r="19" spans="1:29" ht="71.25">
      <c r="A19" s="428"/>
      <c r="B19" s="451" t="s">
        <v>2678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53"/>
      <c r="Q19" s="1805" t="str">
        <f>B19</f>
        <v>办公集聚程度</v>
      </c>
      <c r="R19" s="770" t="s">
        <v>17</v>
      </c>
      <c r="S19" s="771">
        <f>F19</f>
        <v>100</v>
      </c>
      <c r="T19" s="770" t="s">
        <v>17</v>
      </c>
      <c r="U19" s="771">
        <f>H19</f>
        <v>100</v>
      </c>
      <c r="V19" s="770" t="s">
        <v>17</v>
      </c>
      <c r="W19" s="771">
        <f>J19</f>
        <v>100</v>
      </c>
      <c r="X19" s="1808"/>
      <c r="Y19" s="3253"/>
      <c r="Z19" s="1809" t="str">
        <f>Q19</f>
        <v>办公集聚程度</v>
      </c>
      <c r="AA19" s="1806">
        <f t="shared" si="3"/>
        <v>1</v>
      </c>
      <c r="AB19" s="1806">
        <f t="shared" si="4"/>
        <v>1</v>
      </c>
      <c r="AC19" s="1806">
        <f t="shared" si="5"/>
        <v>1</v>
      </c>
    </row>
    <row r="20" spans="1:29" ht="15">
      <c r="A20" s="428"/>
      <c r="B20" s="456"/>
      <c r="C20" s="447"/>
      <c r="D20" s="448"/>
      <c r="E20" s="2599"/>
      <c r="F20" s="448"/>
      <c r="G20" s="2599"/>
      <c r="H20" s="448"/>
      <c r="I20" s="2598"/>
      <c r="J20" s="448"/>
      <c r="K20" s="671"/>
      <c r="L20" s="1136"/>
      <c r="M20" s="1127"/>
      <c r="N20" s="1127"/>
      <c r="O20" s="1135"/>
      <c r="P20" s="3253"/>
      <c r="Q20" s="1805"/>
      <c r="R20" s="770"/>
      <c r="S20" s="771"/>
      <c r="T20" s="770"/>
      <c r="U20" s="771"/>
      <c r="V20" s="770"/>
      <c r="W20" s="771"/>
      <c r="X20" s="1808"/>
      <c r="Y20" s="3253"/>
      <c r="Z20" s="1809"/>
      <c r="AA20" s="1806">
        <v>1</v>
      </c>
      <c r="AB20" s="1806">
        <v>1</v>
      </c>
      <c r="AC20" s="1806">
        <v>1</v>
      </c>
    </row>
    <row r="21" spans="1:29" ht="85.5">
      <c r="A21" s="428"/>
      <c r="B21" s="451" t="s">
        <v>2700</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53"/>
      <c r="Q21" s="1805" t="str">
        <f>B21</f>
        <v>交通便捷度</v>
      </c>
      <c r="R21" s="770" t="s">
        <v>17</v>
      </c>
      <c r="S21" s="771">
        <f>F21</f>
        <v>100</v>
      </c>
      <c r="T21" s="770" t="s">
        <v>17</v>
      </c>
      <c r="U21" s="771">
        <f>H21</f>
        <v>100</v>
      </c>
      <c r="V21" s="770" t="s">
        <v>17</v>
      </c>
      <c r="W21" s="771">
        <f>J21</f>
        <v>100</v>
      </c>
      <c r="X21" s="1808"/>
      <c r="Y21" s="3253"/>
      <c r="Z21" s="1809" t="str">
        <f>Q21</f>
        <v>交通便捷度</v>
      </c>
      <c r="AA21" s="1806">
        <f t="shared" si="3"/>
        <v>1</v>
      </c>
      <c r="AB21" s="1806">
        <f t="shared" si="4"/>
        <v>1</v>
      </c>
      <c r="AC21" s="1806">
        <f t="shared" si="5"/>
        <v>1</v>
      </c>
    </row>
    <row r="22" spans="1:29" ht="15">
      <c r="A22" s="428"/>
      <c r="B22" s="1380"/>
      <c r="C22" s="447"/>
      <c r="D22" s="450"/>
      <c r="E22" s="2599"/>
      <c r="F22" s="448"/>
      <c r="G22" s="2599"/>
      <c r="H22" s="448"/>
      <c r="I22" s="2598"/>
      <c r="J22" s="448"/>
      <c r="K22" s="671"/>
      <c r="L22" s="1136"/>
      <c r="M22" s="1127"/>
      <c r="N22" s="1127"/>
      <c r="O22" s="1135"/>
      <c r="P22" s="3253"/>
      <c r="Q22" s="1805"/>
      <c r="R22" s="770"/>
      <c r="S22" s="771"/>
      <c r="T22" s="770"/>
      <c r="U22" s="771"/>
      <c r="V22" s="770"/>
      <c r="W22" s="771"/>
      <c r="X22" s="1808"/>
      <c r="Y22" s="3253"/>
      <c r="Z22" s="1809"/>
      <c r="AA22" s="1806">
        <v>1</v>
      </c>
      <c r="AB22" s="1806">
        <v>1</v>
      </c>
      <c r="AC22" s="1806">
        <v>1</v>
      </c>
    </row>
    <row r="23" spans="1:29" ht="15">
      <c r="A23" s="404"/>
      <c r="B23" s="451" t="s">
        <v>2739</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53"/>
      <c r="Q23" s="1805" t="str">
        <f t="shared" ref="Q23:Q37" si="8">B23</f>
        <v>区域土地利用方向</v>
      </c>
      <c r="R23" s="770" t="s">
        <v>17</v>
      </c>
      <c r="S23" s="771">
        <f>F23</f>
        <v>100</v>
      </c>
      <c r="T23" s="770" t="s">
        <v>17</v>
      </c>
      <c r="U23" s="771">
        <f>H23</f>
        <v>100</v>
      </c>
      <c r="V23" s="770" t="s">
        <v>17</v>
      </c>
      <c r="W23" s="771">
        <f>J23</f>
        <v>100</v>
      </c>
      <c r="X23" s="1808"/>
      <c r="Y23" s="3253"/>
      <c r="Z23" s="1809" t="str">
        <f>Q23</f>
        <v>区域土地利用方向</v>
      </c>
      <c r="AA23" s="1806">
        <f t="shared" si="3"/>
        <v>1</v>
      </c>
      <c r="AB23" s="1806">
        <f t="shared" si="4"/>
        <v>1</v>
      </c>
      <c r="AC23" s="1806">
        <f t="shared" si="5"/>
        <v>1</v>
      </c>
    </row>
    <row r="24" spans="1:29" ht="15">
      <c r="A24" s="404"/>
      <c r="B24" s="456"/>
      <c r="C24" s="616"/>
      <c r="D24" s="448"/>
      <c r="E24" s="2599"/>
      <c r="F24" s="448"/>
      <c r="G24" s="2598"/>
      <c r="H24" s="448"/>
      <c r="I24" s="2598"/>
      <c r="J24" s="448"/>
      <c r="K24" s="808"/>
      <c r="L24" s="1136"/>
      <c r="M24" s="1127"/>
      <c r="N24" s="1127"/>
      <c r="O24" s="1135"/>
      <c r="P24" s="3253"/>
      <c r="Q24" s="1805"/>
      <c r="R24" s="770"/>
      <c r="S24" s="771"/>
      <c r="T24" s="770"/>
      <c r="U24" s="771"/>
      <c r="V24" s="770"/>
      <c r="W24" s="771"/>
      <c r="X24" s="1808"/>
      <c r="Y24" s="3253"/>
      <c r="Z24" s="1809"/>
      <c r="AA24" s="1806"/>
      <c r="AB24" s="1806"/>
      <c r="AC24" s="1806"/>
    </row>
    <row r="25" spans="1:29" ht="57">
      <c r="A25" s="404"/>
      <c r="B25" s="1380" t="s">
        <v>2740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53"/>
      <c r="Q25" s="1805" t="str">
        <f t="shared" si="8"/>
        <v>自然及人文环境状况</v>
      </c>
      <c r="R25" s="770" t="s">
        <v>17</v>
      </c>
      <c r="S25" s="771">
        <f>F25</f>
        <v>100</v>
      </c>
      <c r="T25" s="770" t="s">
        <v>17</v>
      </c>
      <c r="U25" s="771">
        <f>H25</f>
        <v>100</v>
      </c>
      <c r="V25" s="770" t="s">
        <v>17</v>
      </c>
      <c r="W25" s="771">
        <f>J25</f>
        <v>100</v>
      </c>
      <c r="X25" s="1808"/>
      <c r="Y25" s="3253"/>
      <c r="Z25" s="1809" t="str">
        <f>Q25</f>
        <v>自然及人文环境状况</v>
      </c>
      <c r="AA25" s="1806">
        <f t="shared" si="3"/>
        <v>1</v>
      </c>
      <c r="AB25" s="1806">
        <f t="shared" si="4"/>
        <v>1</v>
      </c>
      <c r="AC25" s="1806">
        <f t="shared" si="5"/>
        <v>1</v>
      </c>
    </row>
    <row r="26" spans="1:29" ht="15">
      <c r="A26" s="404"/>
      <c r="B26" s="456"/>
      <c r="C26" s="447"/>
      <c r="D26" s="448"/>
      <c r="E26" s="2605"/>
      <c r="F26" s="448"/>
      <c r="G26" s="2605"/>
      <c r="H26" s="448"/>
      <c r="I26" s="447"/>
      <c r="J26" s="448"/>
      <c r="K26" s="671"/>
      <c r="L26" s="1136"/>
      <c r="M26" s="1127"/>
      <c r="N26" s="1127"/>
      <c r="O26" s="1135"/>
      <c r="P26" s="3253"/>
      <c r="Q26" s="1805"/>
      <c r="R26" s="770"/>
      <c r="S26" s="771"/>
      <c r="T26" s="770"/>
      <c r="U26" s="771"/>
      <c r="V26" s="770"/>
      <c r="W26" s="771"/>
      <c r="X26" s="1808"/>
      <c r="Y26" s="3253"/>
      <c r="Z26" s="1809"/>
      <c r="AA26" s="1806">
        <v>1</v>
      </c>
      <c r="AB26" s="1806">
        <v>1</v>
      </c>
      <c r="AC26" s="1806">
        <v>1</v>
      </c>
    </row>
    <row r="27" spans="1:29" s="117" customFormat="1" ht="42.75">
      <c r="A27" s="648"/>
      <c r="B27" s="1380" t="s">
        <v>2645</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53"/>
      <c r="Q27" s="1790" t="str">
        <f t="shared" si="8"/>
        <v>公共配套设施</v>
      </c>
      <c r="R27" s="766" t="s">
        <v>17</v>
      </c>
      <c r="S27" s="767">
        <f>F27</f>
        <v>100</v>
      </c>
      <c r="T27" s="766" t="s">
        <v>17</v>
      </c>
      <c r="U27" s="767">
        <f>H27</f>
        <v>100</v>
      </c>
      <c r="V27" s="766" t="s">
        <v>17</v>
      </c>
      <c r="W27" s="767">
        <f>J27</f>
        <v>100</v>
      </c>
      <c r="X27" s="768"/>
      <c r="Y27" s="3253"/>
      <c r="Z27" s="55" t="str">
        <f>Q27</f>
        <v>公共配套设施</v>
      </c>
      <c r="AA27" s="1806">
        <f>D27/F27</f>
        <v>1</v>
      </c>
      <c r="AB27" s="1806">
        <f>D27/H27</f>
        <v>1</v>
      </c>
      <c r="AC27" s="1806">
        <f>D27/J27</f>
        <v>1</v>
      </c>
    </row>
    <row r="28" spans="1:29" s="117" customFormat="1" ht="15">
      <c r="A28" s="648"/>
      <c r="B28" s="456"/>
      <c r="C28" s="2694"/>
      <c r="D28" s="448"/>
      <c r="E28" s="2605"/>
      <c r="F28" s="448"/>
      <c r="G28" s="2605"/>
      <c r="H28" s="448"/>
      <c r="I28" s="447"/>
      <c r="J28" s="448"/>
      <c r="K28" s="671"/>
      <c r="L28" s="1128"/>
      <c r="M28" s="1129"/>
      <c r="N28" s="1129"/>
      <c r="O28" s="1130"/>
      <c r="P28" s="3253"/>
      <c r="Q28" s="1790"/>
      <c r="R28" s="766"/>
      <c r="S28" s="767"/>
      <c r="T28" s="766"/>
      <c r="U28" s="767"/>
      <c r="V28" s="766"/>
      <c r="W28" s="767"/>
      <c r="X28" s="768"/>
      <c r="Y28" s="3253"/>
      <c r="Z28" s="55"/>
      <c r="AA28" s="1806">
        <v>1</v>
      </c>
      <c r="AB28" s="1806">
        <v>1</v>
      </c>
      <c r="AC28" s="1806">
        <v>1</v>
      </c>
    </row>
    <row r="29" spans="1:29" s="117" customFormat="1" ht="28.5">
      <c r="A29" s="648"/>
      <c r="B29" s="1380" t="s">
        <v>2646</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53"/>
      <c r="Q29" s="1790" t="str">
        <f t="shared" ref="Q29" si="9">B29</f>
        <v>基础设施水平</v>
      </c>
      <c r="R29" s="766" t="s">
        <v>17</v>
      </c>
      <c r="S29" s="767">
        <f>F29</f>
        <v>100</v>
      </c>
      <c r="T29" s="766" t="s">
        <v>17</v>
      </c>
      <c r="U29" s="767">
        <f>H29</f>
        <v>100</v>
      </c>
      <c r="V29" s="766" t="s">
        <v>17</v>
      </c>
      <c r="W29" s="767">
        <f>J29</f>
        <v>100</v>
      </c>
      <c r="X29" s="768"/>
      <c r="Y29" s="3253"/>
      <c r="Z29" s="55" t="str">
        <f>Q29</f>
        <v>基础设施水平</v>
      </c>
      <c r="AA29" s="1806">
        <f>D29/F29</f>
        <v>1</v>
      </c>
      <c r="AB29" s="1806">
        <f>D29/H29</f>
        <v>1</v>
      </c>
      <c r="AC29" s="1806">
        <f>D29/J29</f>
        <v>1</v>
      </c>
    </row>
    <row r="30" spans="1:29" s="117" customFormat="1" ht="15">
      <c r="A30" s="648"/>
      <c r="B30" s="456"/>
      <c r="C30" s="2694"/>
      <c r="D30" s="448"/>
      <c r="E30" s="2695"/>
      <c r="F30" s="448"/>
      <c r="G30" s="2695"/>
      <c r="H30" s="448"/>
      <c r="I30" s="2695"/>
      <c r="J30" s="448"/>
      <c r="K30" s="671"/>
      <c r="L30" s="1128"/>
      <c r="M30" s="1129"/>
      <c r="N30" s="1129"/>
      <c r="O30" s="1130"/>
      <c r="P30" s="3253"/>
      <c r="Q30" s="1790"/>
      <c r="R30" s="766"/>
      <c r="S30" s="767"/>
      <c r="T30" s="766"/>
      <c r="U30" s="767"/>
      <c r="V30" s="766"/>
      <c r="W30" s="767"/>
      <c r="X30" s="768"/>
      <c r="Y30" s="3253"/>
      <c r="Z30" s="55"/>
      <c r="AA30" s="1806">
        <v>1</v>
      </c>
      <c r="AB30" s="1806">
        <v>1</v>
      </c>
      <c r="AC30" s="1806">
        <v>1</v>
      </c>
    </row>
    <row r="31" spans="1:29" ht="15">
      <c r="A31" s="428"/>
      <c r="B31" s="456" t="s">
        <v>2647</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53"/>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53"/>
      <c r="Z31" s="1809" t="str">
        <f t="shared" ref="Z31:Z45" si="13">Q31</f>
        <v>临街状况</v>
      </c>
      <c r="AA31" s="1806">
        <f t="shared" si="3"/>
        <v>1</v>
      </c>
      <c r="AB31" s="1806">
        <f t="shared" si="4"/>
        <v>1</v>
      </c>
      <c r="AC31" s="1806">
        <f t="shared" si="5"/>
        <v>1</v>
      </c>
    </row>
    <row r="32" spans="1:29" ht="27">
      <c r="A32" s="428"/>
      <c r="B32" s="1380"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53"/>
      <c r="Q32" s="1805" t="str">
        <f t="shared" si="8"/>
        <v>毗邻道路的类型与等级</v>
      </c>
      <c r="R32" s="770" t="s">
        <v>17</v>
      </c>
      <c r="S32" s="771">
        <f t="shared" si="10"/>
        <v>100</v>
      </c>
      <c r="T32" s="770" t="s">
        <v>17</v>
      </c>
      <c r="U32" s="771">
        <f t="shared" si="11"/>
        <v>100</v>
      </c>
      <c r="V32" s="770" t="s">
        <v>17</v>
      </c>
      <c r="W32" s="771">
        <f t="shared" si="12"/>
        <v>100</v>
      </c>
      <c r="X32" s="1808"/>
      <c r="Y32" s="3253"/>
      <c r="Z32" s="1809" t="str">
        <f t="shared" si="13"/>
        <v>毗邻道路的类型与等级</v>
      </c>
      <c r="AA32" s="1806">
        <f t="shared" si="3"/>
        <v>1</v>
      </c>
      <c r="AB32" s="1806">
        <f t="shared" si="4"/>
        <v>1</v>
      </c>
      <c r="AC32" s="1806">
        <f t="shared" si="5"/>
        <v>1</v>
      </c>
    </row>
    <row r="33" spans="1:29" ht="15">
      <c r="A33" s="428"/>
      <c r="B33" s="456"/>
      <c r="C33" s="447"/>
      <c r="D33" s="448"/>
      <c r="E33" s="2605"/>
      <c r="F33" s="448"/>
      <c r="G33" s="2605"/>
      <c r="H33" s="448"/>
      <c r="I33" s="447"/>
      <c r="J33" s="448"/>
      <c r="K33" s="613"/>
      <c r="L33" s="1136"/>
      <c r="M33" s="1127"/>
      <c r="N33" s="1127"/>
      <c r="O33" s="1135"/>
      <c r="P33" s="3253"/>
      <c r="Q33" s="1805"/>
      <c r="R33" s="770"/>
      <c r="S33" s="771"/>
      <c r="T33" s="770"/>
      <c r="U33" s="771"/>
      <c r="V33" s="770"/>
      <c r="W33" s="771"/>
      <c r="X33" s="1808"/>
      <c r="Y33" s="3253"/>
      <c r="Z33" s="1809"/>
      <c r="AA33" s="1806">
        <v>1</v>
      </c>
      <c r="AB33" s="1806">
        <v>1</v>
      </c>
      <c r="AC33" s="1806">
        <v>1</v>
      </c>
    </row>
    <row r="34" spans="1:29" ht="15">
      <c r="A34" s="428"/>
      <c r="B34" s="422" t="s">
        <v>2741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53"/>
      <c r="Q34" s="1805" t="str">
        <f t="shared" si="8"/>
        <v>土地级别</v>
      </c>
      <c r="R34" s="770" t="s">
        <v>17</v>
      </c>
      <c r="S34" s="771">
        <f t="shared" si="10"/>
        <v>100</v>
      </c>
      <c r="T34" s="770" t="s">
        <v>17</v>
      </c>
      <c r="U34" s="771">
        <f t="shared" si="11"/>
        <v>100</v>
      </c>
      <c r="V34" s="770" t="s">
        <v>17</v>
      </c>
      <c r="W34" s="771">
        <f t="shared" si="12"/>
        <v>100</v>
      </c>
      <c r="X34" s="1808"/>
      <c r="Y34" s="3253"/>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53"/>
      <c r="Q35" s="1805">
        <f t="shared" si="8"/>
        <v>111</v>
      </c>
      <c r="R35" s="770" t="s">
        <v>17</v>
      </c>
      <c r="S35" s="771">
        <f t="shared" si="10"/>
        <v>100</v>
      </c>
      <c r="T35" s="770" t="s">
        <v>17</v>
      </c>
      <c r="U35" s="771">
        <f t="shared" si="11"/>
        <v>100</v>
      </c>
      <c r="V35" s="770" t="s">
        <v>17</v>
      </c>
      <c r="W35" s="771">
        <f t="shared" si="12"/>
        <v>100</v>
      </c>
      <c r="X35" s="1808"/>
      <c r="Y35" s="3253"/>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10" t="s">
        <v>2556</v>
      </c>
      <c r="Q36" s="1805">
        <f t="shared" si="8"/>
        <v>111</v>
      </c>
      <c r="R36" s="770" t="s">
        <v>17</v>
      </c>
      <c r="S36" s="771">
        <f t="shared" si="10"/>
        <v>100</v>
      </c>
      <c r="T36" s="770" t="s">
        <v>17</v>
      </c>
      <c r="U36" s="771">
        <f t="shared" si="11"/>
        <v>100</v>
      </c>
      <c r="V36" s="770" t="s">
        <v>17</v>
      </c>
      <c r="W36" s="771">
        <f t="shared" si="12"/>
        <v>100</v>
      </c>
      <c r="X36" s="1808"/>
      <c r="Y36" s="3257" t="s">
        <v>2556</v>
      </c>
      <c r="Z36" s="1809">
        <f t="shared" si="13"/>
        <v>111</v>
      </c>
      <c r="AA36" s="1806">
        <f t="shared" si="3"/>
        <v>1</v>
      </c>
      <c r="AB36" s="1806">
        <f t="shared" si="4"/>
        <v>1</v>
      </c>
      <c r="AC36" s="1806">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57"/>
      <c r="Q37" s="1805">
        <f t="shared" si="8"/>
        <v>111</v>
      </c>
      <c r="R37" s="773" t="s">
        <v>17</v>
      </c>
      <c r="S37" s="774">
        <f t="shared" si="10"/>
        <v>100</v>
      </c>
      <c r="T37" s="773" t="s">
        <v>17</v>
      </c>
      <c r="U37" s="774">
        <f t="shared" si="11"/>
        <v>100</v>
      </c>
      <c r="V37" s="773" t="s">
        <v>17</v>
      </c>
      <c r="W37" s="774">
        <f t="shared" si="12"/>
        <v>100</v>
      </c>
      <c r="X37" s="775"/>
      <c r="Y37" s="3257"/>
      <c r="Z37" s="776">
        <f t="shared" si="13"/>
        <v>111</v>
      </c>
      <c r="AA37" s="1806">
        <f t="shared" si="3"/>
        <v>1</v>
      </c>
      <c r="AB37" s="1806">
        <f t="shared" si="4"/>
        <v>1</v>
      </c>
      <c r="AC37" s="1806">
        <f t="shared" si="5"/>
        <v>1</v>
      </c>
    </row>
    <row r="38" spans="1:29" ht="15">
      <c r="A38" s="472" t="s">
        <v>2554</v>
      </c>
      <c r="B38" s="456" t="s">
        <v>2742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57"/>
      <c r="Q38" s="1805" t="str">
        <f>B38</f>
        <v>宗地面积</v>
      </c>
      <c r="R38" s="770" t="s">
        <v>17</v>
      </c>
      <c r="S38" s="771" t="e">
        <f t="shared" si="10"/>
        <v>#N/A</v>
      </c>
      <c r="T38" s="770" t="s">
        <v>17</v>
      </c>
      <c r="U38" s="771" t="e">
        <f t="shared" si="11"/>
        <v>#N/A</v>
      </c>
      <c r="V38" s="770" t="s">
        <v>17</v>
      </c>
      <c r="W38" s="771" t="e">
        <f t="shared" si="12"/>
        <v>#N/A</v>
      </c>
      <c r="X38" s="1808"/>
      <c r="Y38" s="3257"/>
      <c r="Z38" s="1809" t="str">
        <f t="shared" si="13"/>
        <v>宗地面积</v>
      </c>
      <c r="AA38" s="1806" t="e">
        <f t="shared" si="3"/>
        <v>#N/A</v>
      </c>
      <c r="AB38" s="1806" t="e">
        <f t="shared" si="4"/>
        <v>#N/A</v>
      </c>
      <c r="AC38" s="1806" t="e">
        <f t="shared" si="5"/>
        <v>#N/A</v>
      </c>
    </row>
    <row r="39" spans="1:29" ht="15">
      <c r="A39" s="472"/>
      <c r="B39" s="422" t="s">
        <v>2743</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6"/>
      <c r="M39" s="1127"/>
      <c r="N39" s="1127"/>
      <c r="O39" s="1135"/>
      <c r="P39" s="3257"/>
      <c r="Q39" s="1805" t="str">
        <f t="shared" ref="Q39:Q45" si="14">B39</f>
        <v>宗地形状</v>
      </c>
      <c r="R39" s="770" t="s">
        <v>17</v>
      </c>
      <c r="S39" s="771">
        <f t="shared" si="10"/>
        <v>100</v>
      </c>
      <c r="T39" s="770" t="s">
        <v>17</v>
      </c>
      <c r="U39" s="771">
        <f t="shared" si="11"/>
        <v>100</v>
      </c>
      <c r="V39" s="770" t="s">
        <v>17</v>
      </c>
      <c r="W39" s="771">
        <f t="shared" si="12"/>
        <v>100</v>
      </c>
      <c r="X39" s="1808"/>
      <c r="Y39" s="3257"/>
      <c r="Z39" s="1809" t="str">
        <f t="shared" si="13"/>
        <v>宗地形状</v>
      </c>
      <c r="AA39" s="1806">
        <f t="shared" si="3"/>
        <v>1</v>
      </c>
      <c r="AB39" s="1806">
        <f t="shared" si="4"/>
        <v>1</v>
      </c>
      <c r="AC39" s="1806">
        <f t="shared" si="5"/>
        <v>1</v>
      </c>
    </row>
    <row r="40" spans="1:29" ht="15">
      <c r="A40" s="472"/>
      <c r="B40" s="422" t="s">
        <v>2744</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6"/>
      <c r="M40" s="1127"/>
      <c r="N40" s="1127"/>
      <c r="O40" s="1135"/>
      <c r="P40" s="3257"/>
      <c r="Q40" s="1805" t="str">
        <f t="shared" si="14"/>
        <v>临街宽度及深度</v>
      </c>
      <c r="R40" s="770" t="s">
        <v>17</v>
      </c>
      <c r="S40" s="771">
        <f t="shared" si="10"/>
        <v>100</v>
      </c>
      <c r="T40" s="770" t="s">
        <v>17</v>
      </c>
      <c r="U40" s="771">
        <f t="shared" si="11"/>
        <v>100</v>
      </c>
      <c r="V40" s="770" t="s">
        <v>17</v>
      </c>
      <c r="W40" s="771">
        <f t="shared" si="12"/>
        <v>100</v>
      </c>
      <c r="X40" s="1808"/>
      <c r="Y40" s="3257"/>
      <c r="Z40" s="1809" t="str">
        <f t="shared" si="13"/>
        <v>临街宽度及深度</v>
      </c>
      <c r="AA40" s="1806">
        <f t="shared" si="3"/>
        <v>1</v>
      </c>
      <c r="AB40" s="1806">
        <f t="shared" si="4"/>
        <v>1</v>
      </c>
      <c r="AC40" s="1806">
        <f t="shared" si="5"/>
        <v>1</v>
      </c>
    </row>
    <row r="41" spans="1:29" s="117" customFormat="1" ht="15">
      <c r="A41" s="473"/>
      <c r="B41" s="422" t="s">
        <v>2745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8"/>
      <c r="M41" s="1129"/>
      <c r="N41" s="1129"/>
      <c r="O41" s="1130"/>
      <c r="P41" s="3257"/>
      <c r="Q41" s="1805" t="str">
        <f t="shared" si="14"/>
        <v>宗地开发程度</v>
      </c>
      <c r="R41" s="766" t="s">
        <v>17</v>
      </c>
      <c r="S41" s="767">
        <f t="shared" si="10"/>
        <v>100</v>
      </c>
      <c r="T41" s="766" t="s">
        <v>17</v>
      </c>
      <c r="U41" s="767">
        <f t="shared" si="11"/>
        <v>100</v>
      </c>
      <c r="V41" s="766" t="s">
        <v>17</v>
      </c>
      <c r="W41" s="767">
        <f t="shared" si="12"/>
        <v>100</v>
      </c>
      <c r="X41" s="768"/>
      <c r="Y41" s="3257"/>
      <c r="Z41" s="55" t="str">
        <f t="shared" si="13"/>
        <v>宗地开发程度</v>
      </c>
      <c r="AA41" s="769">
        <f t="shared" si="3"/>
        <v>1</v>
      </c>
      <c r="AB41" s="769">
        <f t="shared" si="4"/>
        <v>1</v>
      </c>
      <c r="AC41" s="769">
        <f t="shared" si="5"/>
        <v>1</v>
      </c>
    </row>
    <row r="42" spans="1:29" ht="15">
      <c r="A42" s="472"/>
      <c r="B42" s="422" t="s">
        <v>2746</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6"/>
      <c r="M42" s="1127"/>
      <c r="N42" s="1127"/>
      <c r="O42" s="1135"/>
      <c r="P42" s="3257" t="s">
        <v>2556</v>
      </c>
      <c r="Q42" s="1805" t="str">
        <f t="shared" si="14"/>
        <v>工程地质条件</v>
      </c>
      <c r="R42" s="770" t="s">
        <v>17</v>
      </c>
      <c r="S42" s="771">
        <f t="shared" si="10"/>
        <v>100</v>
      </c>
      <c r="T42" s="770" t="s">
        <v>17</v>
      </c>
      <c r="U42" s="771">
        <f t="shared" si="11"/>
        <v>100</v>
      </c>
      <c r="V42" s="770" t="s">
        <v>17</v>
      </c>
      <c r="W42" s="771">
        <f t="shared" si="12"/>
        <v>100</v>
      </c>
      <c r="X42" s="1808"/>
      <c r="Y42" s="3257" t="s">
        <v>2556</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57"/>
      <c r="Q43" s="1805">
        <f t="shared" si="14"/>
        <v>111</v>
      </c>
      <c r="R43" s="770" t="s">
        <v>17</v>
      </c>
      <c r="S43" s="771">
        <f t="shared" si="10"/>
        <v>100</v>
      </c>
      <c r="T43" s="770" t="s">
        <v>17</v>
      </c>
      <c r="U43" s="771">
        <f t="shared" si="11"/>
        <v>100</v>
      </c>
      <c r="V43" s="770" t="s">
        <v>17</v>
      </c>
      <c r="W43" s="771">
        <f t="shared" si="12"/>
        <v>100</v>
      </c>
      <c r="X43" s="1808"/>
      <c r="Y43" s="3257"/>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57"/>
      <c r="Q44" s="1805">
        <f t="shared" si="14"/>
        <v>111</v>
      </c>
      <c r="R44" s="770" t="s">
        <v>17</v>
      </c>
      <c r="S44" s="771">
        <f t="shared" si="10"/>
        <v>100</v>
      </c>
      <c r="T44" s="770" t="s">
        <v>17</v>
      </c>
      <c r="U44" s="771">
        <f t="shared" si="11"/>
        <v>100</v>
      </c>
      <c r="V44" s="770" t="s">
        <v>17</v>
      </c>
      <c r="W44" s="771">
        <f t="shared" si="12"/>
        <v>100</v>
      </c>
      <c r="X44" s="1808"/>
      <c r="Y44" s="3257"/>
      <c r="Z44" s="1809">
        <f t="shared" si="13"/>
        <v>111</v>
      </c>
      <c r="AA44" s="1806">
        <f t="shared" si="3"/>
        <v>1</v>
      </c>
      <c r="AB44" s="1806">
        <f t="shared" si="4"/>
        <v>1</v>
      </c>
      <c r="AC44" s="1806">
        <f t="shared" si="5"/>
        <v>1</v>
      </c>
    </row>
    <row r="45" spans="1:29" s="471" customFormat="1" ht="15.75" thickBot="1">
      <c r="A45" s="468"/>
      <c r="B45" s="1383">
        <v>111</v>
      </c>
      <c r="C45" s="2697"/>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57"/>
      <c r="Q45" s="1805">
        <f t="shared" si="14"/>
        <v>111</v>
      </c>
      <c r="R45" s="773" t="s">
        <v>17</v>
      </c>
      <c r="S45" s="774">
        <f t="shared" si="10"/>
        <v>100</v>
      </c>
      <c r="T45" s="773" t="s">
        <v>17</v>
      </c>
      <c r="U45" s="774">
        <f t="shared" si="11"/>
        <v>100</v>
      </c>
      <c r="V45" s="773" t="s">
        <v>17</v>
      </c>
      <c r="W45" s="774">
        <f t="shared" si="12"/>
        <v>100</v>
      </c>
      <c r="X45" s="775"/>
      <c r="Y45" s="3257"/>
      <c r="Z45" s="776">
        <f t="shared" si="13"/>
        <v>111</v>
      </c>
      <c r="AA45" s="1806">
        <f t="shared" si="3"/>
        <v>1</v>
      </c>
      <c r="AB45" s="1806">
        <f t="shared" si="4"/>
        <v>1</v>
      </c>
      <c r="AC45" s="1806">
        <f t="shared" si="5"/>
        <v>1</v>
      </c>
    </row>
    <row r="46" spans="1:29" ht="15">
      <c r="A46" s="479" t="s">
        <v>2711</v>
      </c>
      <c r="B46" s="2698" t="s">
        <v>2747</v>
      </c>
      <c r="C46" s="681" t="s">
        <v>1</v>
      </c>
      <c r="D46" s="481"/>
      <c r="E46" s="482"/>
      <c r="F46" s="483"/>
      <c r="G46" s="484"/>
      <c r="H46" s="485"/>
      <c r="I46" s="482"/>
      <c r="J46" s="485"/>
      <c r="K46" s="779"/>
      <c r="L46" s="1139"/>
      <c r="M46" s="1140"/>
      <c r="N46" s="1127"/>
      <c r="O46" s="1140"/>
      <c r="P46" s="3250" t="str">
        <f>A46</f>
        <v>成交单价</v>
      </c>
      <c r="Q46" s="3250"/>
      <c r="R46" s="3281">
        <f>E46</f>
        <v>0</v>
      </c>
      <c r="S46" s="3281"/>
      <c r="T46" s="3281">
        <f>G46</f>
        <v>0</v>
      </c>
      <c r="U46" s="3281"/>
      <c r="V46" s="3281">
        <f>I46</f>
        <v>0</v>
      </c>
      <c r="W46" s="3281"/>
      <c r="X46" s="755"/>
      <c r="Y46" s="777"/>
      <c r="Z46" s="755"/>
      <c r="AA46" s="755"/>
      <c r="AB46" s="755"/>
      <c r="AC46" s="755"/>
    </row>
    <row r="47" spans="1:29" ht="15.75" thickBot="1">
      <c r="A47" s="486" t="s">
        <v>2660</v>
      </c>
      <c r="B47" s="682"/>
      <c r="C47" s="490" t="e">
        <f>R48</f>
        <v>#DIV/0!</v>
      </c>
      <c r="D47" s="489"/>
      <c r="E47" s="490" t="e">
        <f>R47</f>
        <v>#DIV/0!</v>
      </c>
      <c r="F47" s="491"/>
      <c r="G47" s="488" t="e">
        <f>T47</f>
        <v>#DIV/0!</v>
      </c>
      <c r="H47" s="489"/>
      <c r="I47" s="490" t="e">
        <f>V47</f>
        <v>#DIV/0!</v>
      </c>
      <c r="J47" s="489"/>
      <c r="K47" s="780"/>
      <c r="L47" s="1139"/>
      <c r="M47" s="1140"/>
      <c r="N47" s="1140"/>
      <c r="O47" s="1140"/>
      <c r="P47" s="3250" t="str">
        <f>A47</f>
        <v>比较价值（元/平方米）</v>
      </c>
      <c r="Q47" s="3250"/>
      <c r="R47" s="3311" t="e">
        <f>ROUND(PRODUCT(R46,AA7:AA45),0)</f>
        <v>#DIV/0!</v>
      </c>
      <c r="S47" s="3311"/>
      <c r="T47" s="3311" t="e">
        <f>ROUND(PRODUCT(T46,AB7:AB45),0)</f>
        <v>#DIV/0!</v>
      </c>
      <c r="U47" s="3311"/>
      <c r="V47" s="3311" t="e">
        <f>ROUND(PRODUCT(V46,AC7:AC45),0)</f>
        <v>#DIV/0!</v>
      </c>
      <c r="W47" s="3311"/>
      <c r="X47" s="755"/>
      <c r="Y47" s="755"/>
      <c r="Z47" s="755"/>
      <c r="AA47" s="755"/>
      <c r="AB47" s="755"/>
      <c r="AC47" s="755"/>
    </row>
    <row r="48" spans="1:29" ht="15.75" thickBot="1">
      <c r="A48" s="492" t="s">
        <v>2748</v>
      </c>
      <c r="B48" s="493"/>
      <c r="C48" s="494" t="e">
        <f>R48</f>
        <v>#DIV/0!</v>
      </c>
      <c r="D48" s="494"/>
      <c r="E48" s="494"/>
      <c r="F48" s="494"/>
      <c r="G48" s="494"/>
      <c r="H48" s="494"/>
      <c r="I48" s="494"/>
      <c r="J48" s="494"/>
      <c r="K48" s="781"/>
      <c r="L48" s="1139"/>
      <c r="M48" s="1140"/>
      <c r="N48" s="1140"/>
      <c r="O48" s="1140"/>
      <c r="P48" s="3247" t="str">
        <f>A48</f>
        <v>估价对象XX用房的比较价值（楼面单价，元/平方米）</v>
      </c>
      <c r="Q48" s="3248"/>
      <c r="R48" s="3312" t="e">
        <f>ROUND(AVERAGE(R47:V47),0)</f>
        <v>#DIV/0!</v>
      </c>
      <c r="S48" s="3312"/>
      <c r="T48" s="3312"/>
      <c r="U48" s="3312"/>
      <c r="V48" s="3312"/>
      <c r="W48" s="3312"/>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2749</v>
      </c>
      <c r="B55" s="684" t="s">
        <v>2750</v>
      </c>
      <c r="C55" s="2699" t="s">
        <v>2751</v>
      </c>
      <c r="D55" s="2700" t="s">
        <v>2752</v>
      </c>
      <c r="E55" s="685" t="s">
        <v>2753</v>
      </c>
      <c r="F55" s="1103" t="s">
        <v>2754</v>
      </c>
      <c r="G55" s="3265" t="s">
        <v>2755</v>
      </c>
      <c r="H55" s="3313"/>
      <c r="I55" s="144" t="s">
        <v>2756</v>
      </c>
      <c r="J55" s="2701">
        <f>项目基本情况!F35</f>
        <v>0</v>
      </c>
      <c r="K55" s="2702" t="s">
        <v>2757</v>
      </c>
      <c r="L55" s="1102"/>
      <c r="M55" s="1140"/>
      <c r="N55" s="1140"/>
      <c r="O55" s="1140"/>
    </row>
    <row r="56" spans="1:15" s="691" customFormat="1">
      <c r="A56" s="687" t="s">
        <v>2758</v>
      </c>
      <c r="B56" s="688" t="e">
        <f>C48</f>
        <v>#DIV/0!</v>
      </c>
      <c r="C56" s="689">
        <v>1</v>
      </c>
      <c r="D56" s="1159">
        <v>1</v>
      </c>
      <c r="E56" s="689">
        <f>'数据-汇总表'!E8+'数据-汇总表'!E9</f>
        <v>3075.7000000000007</v>
      </c>
      <c r="F56" s="1099" t="e">
        <f t="shared" ref="F56:F65" si="15">ROUND(B56*E56/10000,0)</f>
        <v>#DIV/0!</v>
      </c>
      <c r="G56" s="3261"/>
      <c r="H56" s="3250"/>
      <c r="I56" s="1104">
        <v>1</v>
      </c>
      <c r="J56" s="1107">
        <v>1</v>
      </c>
      <c r="K56" s="1141"/>
      <c r="L56" s="937"/>
      <c r="M56" s="937"/>
      <c r="N56" s="937"/>
      <c r="O56" s="937"/>
    </row>
    <row r="57" spans="1:15" s="691" customFormat="1">
      <c r="A57" s="692" t="s">
        <v>2759</v>
      </c>
      <c r="B57" s="262" t="e">
        <f>ROUND($C$48*C57*D57,0)</f>
        <v>#DIV/0!</v>
      </c>
      <c r="C57" s="200">
        <f t="shared" ref="C57:C65" si="16">IF($C$55="北京市系数",I57,J57)</f>
        <v>0.7</v>
      </c>
      <c r="D57" s="1160">
        <v>0.25</v>
      </c>
      <c r="E57" s="693"/>
      <c r="F57" s="1099" t="e">
        <f t="shared" si="15"/>
        <v>#DIV/0!</v>
      </c>
      <c r="G57" s="3314" t="s">
        <v>2760</v>
      </c>
      <c r="H57" s="1100" t="str">
        <f>项目基本情况!B37</f>
        <v>五级</v>
      </c>
      <c r="I57" s="1104">
        <f>SUMIF(修正!A45:A56,H57,修正!B45:B56)</f>
        <v>0.7</v>
      </c>
      <c r="J57" s="1108"/>
      <c r="K57" s="1140"/>
      <c r="L57" s="937"/>
      <c r="M57" s="937"/>
      <c r="N57" s="937"/>
      <c r="O57" s="937"/>
    </row>
    <row r="58" spans="1:15" s="691" customFormat="1">
      <c r="A58" s="692" t="s">
        <v>2761</v>
      </c>
      <c r="B58" s="262" t="e">
        <f t="shared" ref="B58:B65" si="17">ROUND($C$48*C58*D58,0)</f>
        <v>#DIV/0!</v>
      </c>
      <c r="C58" s="200">
        <f t="shared" si="16"/>
        <v>0.4</v>
      </c>
      <c r="D58" s="1160">
        <v>0.25</v>
      </c>
      <c r="E58" s="693"/>
      <c r="F58" s="1099" t="e">
        <f t="shared" si="15"/>
        <v>#DIV/0!</v>
      </c>
      <c r="G58" s="3314"/>
      <c r="H58" s="1100" t="str">
        <f>项目基本情况!B37</f>
        <v>五级</v>
      </c>
      <c r="I58" s="1104">
        <f>SUMIF(修正!A45:A56,H58,修正!C45:C56)</f>
        <v>0.4</v>
      </c>
      <c r="J58" s="1108"/>
      <c r="K58" s="1141"/>
      <c r="L58" s="937"/>
      <c r="M58" s="937"/>
      <c r="N58" s="937"/>
      <c r="O58" s="937"/>
    </row>
    <row r="59" spans="1:15" s="691" customFormat="1">
      <c r="A59" s="692" t="s">
        <v>2762</v>
      </c>
      <c r="B59" s="262" t="e">
        <f t="shared" si="17"/>
        <v>#DIV/0!</v>
      </c>
      <c r="C59" s="200">
        <f t="shared" si="16"/>
        <v>0.28000000000000003</v>
      </c>
      <c r="D59" s="1160">
        <v>0.25</v>
      </c>
      <c r="E59" s="693"/>
      <c r="F59" s="1099" t="e">
        <f t="shared" si="15"/>
        <v>#DIV/0!</v>
      </c>
      <c r="G59" s="3314"/>
      <c r="H59" s="1100" t="str">
        <f>项目基本情况!B37</f>
        <v>五级</v>
      </c>
      <c r="I59" s="1104">
        <f>SUMIF(修正!A45:A56,H59,修正!D45:D56)</f>
        <v>0.28000000000000003</v>
      </c>
      <c r="J59" s="1108"/>
      <c r="K59" s="1140"/>
      <c r="L59" s="937"/>
      <c r="M59" s="937"/>
      <c r="N59" s="937"/>
      <c r="O59" s="937"/>
    </row>
    <row r="60" spans="1:15" s="691" customFormat="1">
      <c r="A60" s="692" t="s">
        <v>2763</v>
      </c>
      <c r="B60" s="262" t="e">
        <f t="shared" si="17"/>
        <v>#DIV/0!</v>
      </c>
      <c r="C60" s="200">
        <f t="shared" si="16"/>
        <v>0.25</v>
      </c>
      <c r="D60" s="1160">
        <v>0.25</v>
      </c>
      <c r="E60" s="693"/>
      <c r="F60" s="1099" t="e">
        <f t="shared" si="15"/>
        <v>#DIV/0!</v>
      </c>
      <c r="G60" s="3314"/>
      <c r="H60" s="1100" t="str">
        <f>项目基本情况!B37</f>
        <v>五级</v>
      </c>
      <c r="I60" s="1104">
        <f>SUMIF(修正!A45:A56,H60,修正!E45:E56)</f>
        <v>0.25</v>
      </c>
      <c r="J60" s="1108"/>
      <c r="K60" s="1141"/>
      <c r="L60" s="937"/>
      <c r="M60" s="937"/>
      <c r="N60" s="937"/>
      <c r="O60" s="937"/>
    </row>
    <row r="61" spans="1:15" s="691" customFormat="1">
      <c r="A61" s="692" t="s">
        <v>2764</v>
      </c>
      <c r="B61" s="262" t="e">
        <f t="shared" si="17"/>
        <v>#DIV/0!</v>
      </c>
      <c r="C61" s="200">
        <f t="shared" si="16"/>
        <v>0</v>
      </c>
      <c r="D61" s="1160">
        <v>0.25</v>
      </c>
      <c r="E61" s="261">
        <f>'数据-汇总表'!E11</f>
        <v>0</v>
      </c>
      <c r="F61" s="1099" t="e">
        <f t="shared" si="15"/>
        <v>#DIV/0!</v>
      </c>
      <c r="G61" s="2703" t="s">
        <v>2765</v>
      </c>
      <c r="H61" s="1100">
        <f>项目基本情况!C37</f>
        <v>0</v>
      </c>
      <c r="I61" s="1104">
        <f>SUMIF(修正!A45:A56,H61,修正!F45:F56)</f>
        <v>0</v>
      </c>
      <c r="J61" s="1108"/>
      <c r="K61" s="1140"/>
      <c r="L61" s="937"/>
      <c r="M61" s="937"/>
      <c r="N61" s="937"/>
      <c r="O61" s="937"/>
    </row>
    <row r="62" spans="1:15" s="691" customFormat="1">
      <c r="A62" s="692" t="s">
        <v>2766</v>
      </c>
      <c r="B62" s="262" t="e">
        <f t="shared" si="17"/>
        <v>#DIV/0!</v>
      </c>
      <c r="C62" s="200">
        <f t="shared" si="16"/>
        <v>0</v>
      </c>
      <c r="D62" s="1160">
        <v>0.25</v>
      </c>
      <c r="E62" s="261">
        <f>'数据-汇总表'!E12</f>
        <v>0</v>
      </c>
      <c r="F62" s="1099" t="e">
        <f t="shared" si="15"/>
        <v>#DIV/0!</v>
      </c>
      <c r="G62" s="1105" t="s">
        <v>2767</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2768</v>
      </c>
      <c r="B63" s="262" t="e">
        <f t="shared" si="17"/>
        <v>#DIV/0!</v>
      </c>
      <c r="C63" s="200">
        <f t="shared" si="16"/>
        <v>0</v>
      </c>
      <c r="D63" s="1160">
        <v>0.25</v>
      </c>
      <c r="E63" s="261">
        <f>'数据-汇总表'!E13</f>
        <v>0</v>
      </c>
      <c r="F63" s="1099" t="e">
        <f t="shared" si="15"/>
        <v>#DIV/0!</v>
      </c>
      <c r="G63" s="1105" t="s">
        <v>2769</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2770</v>
      </c>
      <c r="B64" s="262" t="e">
        <f t="shared" si="17"/>
        <v>#DIV/0!</v>
      </c>
      <c r="C64" s="200">
        <f t="shared" si="16"/>
        <v>0.2</v>
      </c>
      <c r="D64" s="1160">
        <v>0.25</v>
      </c>
      <c r="E64" s="261">
        <f>'数据-汇总表'!E14</f>
        <v>0</v>
      </c>
      <c r="F64" s="1099" t="e">
        <f t="shared" si="15"/>
        <v>#DIV/0!</v>
      </c>
      <c r="G64" s="2703" t="s">
        <v>2760</v>
      </c>
      <c r="H64" s="1100" t="str">
        <f>项目基本情况!B37</f>
        <v>五级</v>
      </c>
      <c r="I64" s="1104">
        <f>SUMIF(修正!A45:A56,H64,修正!H45:H56)</f>
        <v>0.2</v>
      </c>
      <c r="J64" s="1108"/>
      <c r="K64" s="1141"/>
      <c r="L64" s="937"/>
      <c r="M64" s="937"/>
      <c r="N64" s="937"/>
      <c r="O64" s="937"/>
    </row>
    <row r="65" spans="1:17" s="691" customFormat="1" ht="15" thickBot="1">
      <c r="A65" s="692" t="s">
        <v>2771</v>
      </c>
      <c r="B65" s="262" t="e">
        <f t="shared" si="17"/>
        <v>#DIV/0!</v>
      </c>
      <c r="C65" s="200">
        <f t="shared" si="16"/>
        <v>0</v>
      </c>
      <c r="D65" s="1160">
        <v>0.25</v>
      </c>
      <c r="E65" s="261">
        <f>'数据-汇总表'!E15</f>
        <v>0</v>
      </c>
      <c r="F65" s="1099" t="e">
        <f t="shared" si="15"/>
        <v>#DIV/0!</v>
      </c>
      <c r="G65" s="2704" t="s">
        <v>2765</v>
      </c>
      <c r="H65" s="1110">
        <f>项目基本情况!C37</f>
        <v>0</v>
      </c>
      <c r="I65" s="1106">
        <f>SUMIF(修正!A45:A56,H65,修正!H45:H56)</f>
        <v>0</v>
      </c>
      <c r="J65" s="1109"/>
      <c r="K65" s="1140"/>
      <c r="L65" s="937"/>
      <c r="M65" s="937"/>
      <c r="N65" s="937"/>
      <c r="O65" s="937"/>
    </row>
    <row r="66" spans="1:17" s="691" customFormat="1" ht="13.5" thickBot="1">
      <c r="A66" s="694" t="s">
        <v>2772</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2665</v>
      </c>
      <c r="B69" s="755"/>
      <c r="C69" s="760"/>
      <c r="D69" s="760"/>
      <c r="E69" s="760"/>
      <c r="F69" s="761"/>
      <c r="G69" s="761"/>
      <c r="H69" s="760"/>
      <c r="I69" s="760"/>
      <c r="J69" s="1155"/>
      <c r="K69" s="1156"/>
      <c r="L69" s="1157"/>
      <c r="M69" s="1155"/>
      <c r="N69" s="1155"/>
      <c r="O69" s="1155"/>
      <c r="P69" s="503"/>
      <c r="Q69" s="504"/>
    </row>
    <row r="70" spans="1:17" s="508" customFormat="1" ht="15">
      <c r="A70" s="2705" t="s">
        <v>2773</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6" t="s">
        <v>2774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2576</v>
      </c>
      <c r="B72" s="516"/>
      <c r="C72" s="517"/>
      <c r="D72" s="518"/>
      <c r="E72" s="518"/>
      <c r="F72" s="518"/>
      <c r="G72" s="518"/>
      <c r="H72" s="518"/>
      <c r="I72" s="518"/>
      <c r="J72" s="518"/>
      <c r="K72" s="518"/>
      <c r="L72" s="518"/>
      <c r="M72" s="519"/>
      <c r="N72" s="518"/>
      <c r="O72" s="1158"/>
      <c r="P72" s="504"/>
      <c r="Q72" s="504"/>
    </row>
    <row r="73" spans="1:17" s="117" customFormat="1" ht="15">
      <c r="A73" s="521" t="s">
        <v>2541</v>
      </c>
      <c r="B73" s="510"/>
      <c r="C73" s="522" t="s">
        <v>2643</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2579</v>
      </c>
      <c r="B75" s="528" t="s">
        <v>2545</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2548</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2646</v>
      </c>
      <c r="C102" s="659" t="s">
        <v>2666</v>
      </c>
      <c r="D102" s="659" t="s">
        <v>2667</v>
      </c>
      <c r="E102" s="659" t="s">
        <v>2668</v>
      </c>
      <c r="F102" s="659" t="s">
        <v>2669</v>
      </c>
      <c r="G102" s="659" t="s">
        <v>2670</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2682</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2741</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2783</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2784</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2785</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2786</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北京国锐房地产开发有限公司：</v>
      </c>
    </row>
    <row r="4" spans="1:1" ht="36">
      <c r="A4" s="1943" t="str">
        <f>"受贵公司委托，我公司对"&amp;项目基本情况!S1&amp;"进行了预评估。"</f>
        <v>受贵公司委托，我公司对北京市朝阳区朝阳路67号9号楼、10号楼、1号楼等35套商业用房房地产抵押价值进行了预评估。</v>
      </c>
    </row>
    <row r="5" spans="1:1" ht="18.75">
      <c r="A5" s="1944" t="s">
        <v>1604</v>
      </c>
    </row>
    <row r="6" spans="1:1" ht="18.75">
      <c r="A6" s="1945" t="s">
        <v>1605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6" t="s">
        <v>1606</v>
      </c>
    </row>
    <row r="9" spans="1:1" ht="18.75">
      <c r="A9" s="1945" t="s">
        <v>1607</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6" t="s">
        <v>1608</v>
      </c>
    </row>
    <row r="12" spans="1:1" ht="18.75">
      <c r="A12" s="1944" t="s">
        <v>1609</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2019年6月3日（评估专业人员实地查勘之日）</v>
      </c>
    </row>
    <row r="16" spans="1:1" ht="18.75">
      <c r="A16" s="1948" t="s">
        <v>1611</v>
      </c>
    </row>
    <row r="17" spans="1:1" ht="75">
      <c r="A17" s="1943" t="s">
        <v>1612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1601</v>
      </c>
    </row>
    <row r="24" spans="1:1" ht="18">
      <c r="A24" s="1950" t="str">
        <f>"本次评估采用的主估价方法为"&amp;结果表!K4&amp;"和"&amp;结果表!L4&amp;"。"</f>
        <v>本次评估采用的主估价方法为收益法和基准地价系数修正法。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1"/>
      <c r="E1" s="751"/>
      <c r="F1" s="750" t="s">
        <v>2634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2318</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2320</v>
      </c>
      <c r="B3" s="609" t="e">
        <f>ROUND(IF(D3="",B2*10000/'数据-汇总表'!E3,B2*10000/D3),0)</f>
        <v>#DIV/0!</v>
      </c>
      <c r="C3" s="247" t="s">
        <v>2737</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2636</v>
      </c>
      <c r="B4" s="402"/>
      <c r="C4" s="3265" t="s">
        <v>2637</v>
      </c>
      <c r="D4" s="3266"/>
      <c r="E4" s="3267" t="s">
        <v>2638</v>
      </c>
      <c r="F4" s="3268"/>
      <c r="G4" s="3265" t="s">
        <v>2639</v>
      </c>
      <c r="H4" s="3266"/>
      <c r="I4" s="3265" t="s">
        <v>2640</v>
      </c>
      <c r="J4" s="3266"/>
      <c r="K4" s="610" t="s">
        <v>2641</v>
      </c>
      <c r="L4" s="1126"/>
      <c r="M4" s="1127"/>
      <c r="N4" s="1127"/>
      <c r="O4" s="1127"/>
      <c r="P4" s="3269" t="s">
        <v>2642</v>
      </c>
      <c r="Q4" s="3270"/>
      <c r="R4" s="3275" t="s">
        <v>2638</v>
      </c>
      <c r="S4" s="3276"/>
      <c r="T4" s="3275" t="s">
        <v>2639</v>
      </c>
      <c r="U4" s="3276"/>
      <c r="V4" s="3281" t="s">
        <v>2640</v>
      </c>
      <c r="W4" s="3281"/>
      <c r="X4" s="1808"/>
      <c r="Y4" s="3275" t="s">
        <v>2642</v>
      </c>
      <c r="Z4" s="3276"/>
      <c r="AA4" s="3262" t="s">
        <v>2638</v>
      </c>
      <c r="AB4" s="3263" t="s">
        <v>2639</v>
      </c>
      <c r="AC4" s="3262" t="s">
        <v>2640</v>
      </c>
    </row>
    <row r="5" spans="1:29" ht="15">
      <c r="A5" s="404"/>
      <c r="B5" s="405"/>
      <c r="C5" s="3284" t="s">
        <v>2533</v>
      </c>
      <c r="D5" s="3285"/>
      <c r="E5" s="3291" t="s">
        <v>2534</v>
      </c>
      <c r="F5" s="3292"/>
      <c r="G5" s="3284" t="s">
        <v>2535</v>
      </c>
      <c r="H5" s="3285"/>
      <c r="I5" s="3284" t="s">
        <v>2536</v>
      </c>
      <c r="J5" s="3285"/>
      <c r="K5" s="610"/>
      <c r="L5" s="1126"/>
      <c r="M5" s="1127"/>
      <c r="N5" s="1127"/>
      <c r="O5" s="1127"/>
      <c r="P5" s="3271"/>
      <c r="Q5" s="3272"/>
      <c r="R5" s="3277"/>
      <c r="S5" s="3278"/>
      <c r="T5" s="3277"/>
      <c r="U5" s="3278"/>
      <c r="V5" s="3281"/>
      <c r="W5" s="3281"/>
      <c r="X5" s="1808"/>
      <c r="Y5" s="3277"/>
      <c r="Z5" s="3278"/>
      <c r="AA5" s="3263"/>
      <c r="AB5" s="3263"/>
      <c r="AC5" s="3263"/>
    </row>
    <row r="6" spans="1:29" ht="15.75" thickBot="1">
      <c r="A6" s="406"/>
      <c r="B6" s="407"/>
      <c r="C6" s="3315" t="s">
        <v>2788</v>
      </c>
      <c r="D6" s="3316"/>
      <c r="E6" s="3317" t="s">
        <v>2788</v>
      </c>
      <c r="F6" s="3318"/>
      <c r="G6" s="3315" t="s">
        <v>2788</v>
      </c>
      <c r="H6" s="3316"/>
      <c r="I6" s="3315" t="s">
        <v>2788</v>
      </c>
      <c r="J6" s="3316"/>
      <c r="K6" s="610" t="s">
        <v>2538</v>
      </c>
      <c r="L6" s="1126"/>
      <c r="M6" s="1127"/>
      <c r="N6" s="1127"/>
      <c r="O6" s="1127"/>
      <c r="P6" s="3273"/>
      <c r="Q6" s="3274"/>
      <c r="R6" s="3277"/>
      <c r="S6" s="3278"/>
      <c r="T6" s="3279"/>
      <c r="U6" s="3280"/>
      <c r="V6" s="3281"/>
      <c r="W6" s="3281"/>
      <c r="X6" s="1808"/>
      <c r="Y6" s="3279"/>
      <c r="Z6" s="3280"/>
      <c r="AA6" s="3264"/>
      <c r="AB6" s="3264"/>
      <c r="AC6" s="3264"/>
    </row>
    <row r="7" spans="1:29" s="117" customFormat="1" ht="15.75" thickBot="1">
      <c r="A7" s="408" t="s">
        <v>2539</v>
      </c>
      <c r="B7" s="409"/>
      <c r="C7" s="410">
        <f>'数据-取费表'!B2</f>
        <v>43619</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286" t="s">
        <v>2540</v>
      </c>
      <c r="Q7" s="3288"/>
      <c r="R7" s="766" t="s">
        <v>17</v>
      </c>
      <c r="S7" s="767">
        <f t="shared" ref="S7:S15" si="0">F7</f>
        <v>0</v>
      </c>
      <c r="T7" s="766" t="s">
        <v>17</v>
      </c>
      <c r="U7" s="767">
        <f t="shared" ref="U7:U15" si="1">H7</f>
        <v>0</v>
      </c>
      <c r="V7" s="766" t="s">
        <v>17</v>
      </c>
      <c r="W7" s="767">
        <f t="shared" ref="W7:W15" si="2">J7</f>
        <v>0</v>
      </c>
      <c r="X7" s="768"/>
      <c r="Y7" s="3286" t="s">
        <v>2540</v>
      </c>
      <c r="Z7" s="3287"/>
      <c r="AA7" s="769" t="e">
        <f>D7/F7</f>
        <v>#DIV/0!</v>
      </c>
      <c r="AB7" s="769" t="e">
        <f>D7/H7</f>
        <v>#DIV/0!</v>
      </c>
      <c r="AC7" s="769"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86" t="s">
        <v>2543</v>
      </c>
      <c r="Q8" s="3287"/>
      <c r="R8" s="766" t="s">
        <v>17</v>
      </c>
      <c r="S8" s="767">
        <f t="shared" si="0"/>
        <v>0</v>
      </c>
      <c r="T8" s="766" t="s">
        <v>17</v>
      </c>
      <c r="U8" s="767">
        <f t="shared" si="1"/>
        <v>0</v>
      </c>
      <c r="V8" s="766" t="s">
        <v>17</v>
      </c>
      <c r="W8" s="767">
        <f t="shared" si="2"/>
        <v>0</v>
      </c>
      <c r="X8" s="768"/>
      <c r="Y8" s="3286" t="s">
        <v>2543</v>
      </c>
      <c r="Z8" s="3287"/>
      <c r="AA8" s="769" t="e">
        <f t="shared" ref="AA8:AA40" si="3">D8/F8</f>
        <v>#DIV/0!</v>
      </c>
      <c r="AB8" s="769" t="e">
        <f t="shared" ref="AB8:AB40" si="4">D8/H8</f>
        <v>#DIV/0!</v>
      </c>
      <c r="AC8" s="769" t="e">
        <f t="shared" ref="AC8:AC40" si="5">D8/J8</f>
        <v>#DIV/0!</v>
      </c>
    </row>
    <row r="9" spans="1:29" s="117" customFormat="1">
      <c r="A9" s="415" t="s">
        <v>2544</v>
      </c>
      <c r="B9" s="71" t="s">
        <v>2545</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250" t="s">
        <v>2546</v>
      </c>
      <c r="Q9" s="1790" t="str">
        <f t="shared" ref="Q9:Q15" si="6">B9</f>
        <v>用途</v>
      </c>
      <c r="R9" s="766" t="s">
        <v>17</v>
      </c>
      <c r="S9" s="767">
        <f t="shared" si="0"/>
        <v>100</v>
      </c>
      <c r="T9" s="766" t="s">
        <v>17</v>
      </c>
      <c r="U9" s="767">
        <f t="shared" si="1"/>
        <v>100</v>
      </c>
      <c r="V9" s="766" t="s">
        <v>17</v>
      </c>
      <c r="W9" s="767">
        <f t="shared" si="2"/>
        <v>100</v>
      </c>
      <c r="X9" s="768"/>
      <c r="Y9" s="3081" t="s">
        <v>2547</v>
      </c>
      <c r="Z9" s="55" t="str">
        <f t="shared" ref="Z9:Z15" si="7">Q9</f>
        <v>用途</v>
      </c>
      <c r="AA9" s="769">
        <f t="shared" si="3"/>
        <v>1</v>
      </c>
      <c r="AB9" s="769">
        <f t="shared" si="4"/>
        <v>1</v>
      </c>
      <c r="AC9" s="769">
        <f t="shared" si="5"/>
        <v>1</v>
      </c>
    </row>
    <row r="10" spans="1:29" s="427" customFormat="1" ht="27">
      <c r="A10" s="421"/>
      <c r="B10" s="422" t="s">
        <v>2548</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50"/>
      <c r="Q10" s="1790" t="str">
        <f t="shared" si="6"/>
        <v>土地使用年限（年）</v>
      </c>
      <c r="R10" s="766" t="s">
        <v>17</v>
      </c>
      <c r="S10" s="767">
        <f t="shared" si="0"/>
        <v>124</v>
      </c>
      <c r="T10" s="766" t="s">
        <v>17</v>
      </c>
      <c r="U10" s="767">
        <f t="shared" si="1"/>
        <v>124</v>
      </c>
      <c r="V10" s="766" t="s">
        <v>17</v>
      </c>
      <c r="W10" s="767">
        <f t="shared" si="2"/>
        <v>124</v>
      </c>
      <c r="X10" s="768"/>
      <c r="Y10" s="3081"/>
      <c r="Z10" s="55" t="str">
        <f t="shared" si="7"/>
        <v>土地使用年限（年）</v>
      </c>
      <c r="AA10" s="769">
        <f t="shared" si="3"/>
        <v>0.80645161290322576</v>
      </c>
      <c r="AB10" s="769">
        <f t="shared" si="4"/>
        <v>0.80645161290322576</v>
      </c>
      <c r="AC10" s="769">
        <f t="shared" si="5"/>
        <v>0.80645161290322576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50"/>
      <c r="Q11" s="1790" t="str">
        <f t="shared" si="6"/>
        <v>容积率</v>
      </c>
      <c r="R11" s="766" t="s">
        <v>17</v>
      </c>
      <c r="S11" s="767" t="e">
        <f t="shared" si="0"/>
        <v>#N/A</v>
      </c>
      <c r="T11" s="766" t="s">
        <v>17</v>
      </c>
      <c r="U11" s="767" t="e">
        <f t="shared" si="1"/>
        <v>#N/A</v>
      </c>
      <c r="V11" s="766" t="s">
        <v>17</v>
      </c>
      <c r="W11" s="767" t="e">
        <f t="shared" si="2"/>
        <v>#N/A</v>
      </c>
      <c r="X11" s="768"/>
      <c r="Y11" s="3081"/>
      <c r="Z11" s="55" t="str">
        <f t="shared" si="7"/>
        <v>容积率</v>
      </c>
      <c r="AA11" s="769" t="e">
        <f t="shared" si="3"/>
        <v>#N/A</v>
      </c>
      <c r="AB11" s="769" t="e">
        <f t="shared" si="4"/>
        <v>#N/A</v>
      </c>
      <c r="AC11" s="769" t="e">
        <f t="shared" si="5"/>
        <v>#N/A</v>
      </c>
    </row>
    <row r="12" spans="1:29" s="117" customFormat="1" ht="15">
      <c r="A12" s="431"/>
      <c r="B12" s="2594">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50"/>
      <c r="Q12" s="1790">
        <f t="shared" si="6"/>
        <v>111</v>
      </c>
      <c r="R12" s="766" t="s">
        <v>17</v>
      </c>
      <c r="S12" s="767">
        <f t="shared" si="0"/>
        <v>100</v>
      </c>
      <c r="T12" s="766" t="s">
        <v>17</v>
      </c>
      <c r="U12" s="767">
        <f t="shared" si="1"/>
        <v>100</v>
      </c>
      <c r="V12" s="766" t="s">
        <v>17</v>
      </c>
      <c r="W12" s="767">
        <f t="shared" si="2"/>
        <v>100</v>
      </c>
      <c r="X12" s="768"/>
      <c r="Y12" s="3081"/>
      <c r="Z12" s="55">
        <f t="shared" si="7"/>
        <v>111</v>
      </c>
      <c r="AA12" s="769">
        <f>D12/F12</f>
        <v>1</v>
      </c>
      <c r="AB12" s="769">
        <f>D12/H12</f>
        <v>1</v>
      </c>
      <c r="AC12" s="769">
        <f>D12/J12</f>
        <v>1</v>
      </c>
    </row>
    <row r="13" spans="1:29" ht="15">
      <c r="A13" s="428"/>
      <c r="B13" s="2594">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50"/>
      <c r="Q13" s="1790">
        <f t="shared" si="6"/>
        <v>111</v>
      </c>
      <c r="R13" s="766" t="s">
        <v>17</v>
      </c>
      <c r="S13" s="767">
        <f t="shared" si="0"/>
        <v>100</v>
      </c>
      <c r="T13" s="766" t="s">
        <v>17</v>
      </c>
      <c r="U13" s="767">
        <f t="shared" si="1"/>
        <v>100</v>
      </c>
      <c r="V13" s="766" t="s">
        <v>17</v>
      </c>
      <c r="W13" s="767">
        <f t="shared" si="2"/>
        <v>100</v>
      </c>
      <c r="X13" s="768"/>
      <c r="Y13" s="3081"/>
      <c r="Z13" s="55">
        <f t="shared" si="7"/>
        <v>111</v>
      </c>
      <c r="AA13" s="769">
        <f t="shared" si="3"/>
        <v>1</v>
      </c>
      <c r="AB13" s="769">
        <f t="shared" si="4"/>
        <v>1</v>
      </c>
      <c r="AC13" s="769">
        <f t="shared" si="5"/>
        <v>1</v>
      </c>
    </row>
    <row r="14" spans="1:29" ht="15.75" thickBot="1">
      <c r="A14" s="436"/>
      <c r="B14" s="2596">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50"/>
      <c r="Q14" s="1790">
        <f t="shared" si="6"/>
        <v>111</v>
      </c>
      <c r="R14" s="766" t="s">
        <v>17</v>
      </c>
      <c r="S14" s="767">
        <f t="shared" si="0"/>
        <v>100</v>
      </c>
      <c r="T14" s="766" t="s">
        <v>17</v>
      </c>
      <c r="U14" s="767">
        <f t="shared" si="1"/>
        <v>100</v>
      </c>
      <c r="V14" s="766" t="s">
        <v>17</v>
      </c>
      <c r="W14" s="767">
        <f t="shared" si="2"/>
        <v>100</v>
      </c>
      <c r="X14" s="768"/>
      <c r="Y14" s="3081"/>
      <c r="Z14" s="55">
        <f t="shared" si="7"/>
        <v>111</v>
      </c>
      <c r="AA14" s="769">
        <f t="shared" si="3"/>
        <v>1</v>
      </c>
      <c r="AB14" s="769">
        <f t="shared" si="4"/>
        <v>1</v>
      </c>
      <c r="AC14" s="769">
        <f t="shared" si="5"/>
        <v>1</v>
      </c>
    </row>
    <row r="15" spans="1:29" ht="57">
      <c r="A15" s="440" t="s">
        <v>2550</v>
      </c>
      <c r="B15" s="628" t="s">
        <v>2789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52" t="s">
        <v>2551</v>
      </c>
      <c r="Q15" s="1805" t="str">
        <f t="shared" si="6"/>
        <v>产业集聚程度</v>
      </c>
      <c r="R15" s="770" t="s">
        <v>17</v>
      </c>
      <c r="S15" s="771">
        <f t="shared" si="0"/>
        <v>100</v>
      </c>
      <c r="T15" s="770" t="s">
        <v>17</v>
      </c>
      <c r="U15" s="771">
        <f t="shared" si="1"/>
        <v>100</v>
      </c>
      <c r="V15" s="770" t="s">
        <v>17</v>
      </c>
      <c r="W15" s="771">
        <f t="shared" si="2"/>
        <v>100</v>
      </c>
      <c r="X15" s="1808"/>
      <c r="Y15" s="3252" t="s">
        <v>2551</v>
      </c>
      <c r="Z15" s="1809" t="str">
        <f t="shared" si="7"/>
        <v>产业集聚程度</v>
      </c>
      <c r="AA15" s="1806">
        <f t="shared" si="3"/>
        <v>1</v>
      </c>
      <c r="AB15" s="1806">
        <f t="shared" si="4"/>
        <v>1</v>
      </c>
      <c r="AC15" s="1806">
        <f t="shared" si="5"/>
        <v>1</v>
      </c>
    </row>
    <row r="16" spans="1:29" ht="15">
      <c r="A16" s="428"/>
      <c r="B16" s="629"/>
      <c r="C16" s="447"/>
      <c r="D16" s="448"/>
      <c r="E16" s="2605"/>
      <c r="F16" s="448"/>
      <c r="G16" s="2605"/>
      <c r="H16" s="450"/>
      <c r="I16" s="2605"/>
      <c r="J16" s="448"/>
      <c r="K16" s="671"/>
      <c r="L16" s="1136"/>
      <c r="M16" s="1127"/>
      <c r="N16" s="1127"/>
      <c r="O16" s="1135"/>
      <c r="P16" s="3253"/>
      <c r="Q16" s="1805"/>
      <c r="R16" s="770"/>
      <c r="S16" s="771"/>
      <c r="T16" s="770"/>
      <c r="U16" s="771"/>
      <c r="V16" s="770"/>
      <c r="W16" s="771"/>
      <c r="X16" s="1808"/>
      <c r="Y16" s="3253"/>
      <c r="Z16" s="1809"/>
      <c r="AA16" s="1806">
        <v>1</v>
      </c>
      <c r="AB16" s="1806">
        <v>1</v>
      </c>
      <c r="AC16" s="1806">
        <v>1</v>
      </c>
    </row>
    <row r="17" spans="1:29" ht="85.5">
      <c r="A17" s="428"/>
      <c r="B17" s="630" t="s">
        <v>2700</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53"/>
      <c r="Q17" s="1805" t="str">
        <f>B17</f>
        <v>交通便捷度</v>
      </c>
      <c r="R17" s="770" t="s">
        <v>17</v>
      </c>
      <c r="S17" s="771">
        <f>F17</f>
        <v>100</v>
      </c>
      <c r="T17" s="770" t="s">
        <v>17</v>
      </c>
      <c r="U17" s="771">
        <f>H17</f>
        <v>100</v>
      </c>
      <c r="V17" s="770" t="s">
        <v>17</v>
      </c>
      <c r="W17" s="771">
        <f>J17</f>
        <v>100</v>
      </c>
      <c r="X17" s="1808"/>
      <c r="Y17" s="3253"/>
      <c r="Z17" s="1809" t="str">
        <f>Q17</f>
        <v>交通便捷度</v>
      </c>
      <c r="AA17" s="1806">
        <f t="shared" si="3"/>
        <v>1</v>
      </c>
      <c r="AB17" s="1806">
        <f t="shared" si="4"/>
        <v>1</v>
      </c>
      <c r="AC17" s="1806">
        <f t="shared" si="5"/>
        <v>1</v>
      </c>
    </row>
    <row r="18" spans="1:29" ht="15">
      <c r="A18" s="428"/>
      <c r="B18" s="631"/>
      <c r="C18" s="447"/>
      <c r="D18" s="448"/>
      <c r="E18" s="2599"/>
      <c r="F18" s="448"/>
      <c r="G18" s="2599"/>
      <c r="H18" s="448"/>
      <c r="I18" s="2598"/>
      <c r="J18" s="448"/>
      <c r="K18" s="671"/>
      <c r="L18" s="1136"/>
      <c r="M18" s="1127"/>
      <c r="N18" s="1127"/>
      <c r="O18" s="1135"/>
      <c r="P18" s="3253"/>
      <c r="Q18" s="1805"/>
      <c r="R18" s="770"/>
      <c r="S18" s="771"/>
      <c r="T18" s="770"/>
      <c r="U18" s="771"/>
      <c r="V18" s="770"/>
      <c r="W18" s="771"/>
      <c r="X18" s="1808"/>
      <c r="Y18" s="3253"/>
      <c r="Z18" s="1809"/>
      <c r="AA18" s="1806">
        <v>1</v>
      </c>
      <c r="AB18" s="1806">
        <v>1</v>
      </c>
      <c r="AC18" s="1806">
        <v>1</v>
      </c>
    </row>
    <row r="19" spans="1:29" ht="15">
      <c r="A19" s="428"/>
      <c r="B19" s="630" t="s">
        <v>2739</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53"/>
      <c r="Q19" s="1805" t="str">
        <f t="shared" ref="Q19:Q33" si="8">B19</f>
        <v>区域土地利用方向</v>
      </c>
      <c r="R19" s="770" t="s">
        <v>17</v>
      </c>
      <c r="S19" s="771">
        <f>F19</f>
        <v>100</v>
      </c>
      <c r="T19" s="770" t="s">
        <v>17</v>
      </c>
      <c r="U19" s="771">
        <f>H19</f>
        <v>100</v>
      </c>
      <c r="V19" s="770" t="s">
        <v>17</v>
      </c>
      <c r="W19" s="771">
        <f>J19</f>
        <v>100</v>
      </c>
      <c r="X19" s="1808"/>
      <c r="Y19" s="3253"/>
      <c r="Z19" s="1809" t="str">
        <f>Q19</f>
        <v>区域土地利用方向</v>
      </c>
      <c r="AA19" s="1806">
        <f t="shared" si="3"/>
        <v>1</v>
      </c>
      <c r="AB19" s="1806">
        <f t="shared" si="4"/>
        <v>1</v>
      </c>
      <c r="AC19" s="1806">
        <f t="shared" si="5"/>
        <v>1</v>
      </c>
    </row>
    <row r="20" spans="1:29" ht="15">
      <c r="A20" s="404"/>
      <c r="B20" s="631"/>
      <c r="C20" s="447"/>
      <c r="D20" s="448"/>
      <c r="E20" s="2599"/>
      <c r="F20" s="448"/>
      <c r="G20" s="2599"/>
      <c r="H20" s="448"/>
      <c r="I20" s="2599"/>
      <c r="J20" s="448"/>
      <c r="K20" s="808"/>
      <c r="L20" s="1136"/>
      <c r="M20" s="1127"/>
      <c r="N20" s="1127"/>
      <c r="O20" s="1135"/>
      <c r="P20" s="3253"/>
      <c r="Q20" s="1805"/>
      <c r="R20" s="770"/>
      <c r="S20" s="771"/>
      <c r="T20" s="770"/>
      <c r="U20" s="771"/>
      <c r="V20" s="770"/>
      <c r="W20" s="771"/>
      <c r="X20" s="1808"/>
      <c r="Y20" s="3253"/>
      <c r="Z20" s="1809"/>
      <c r="AA20" s="1806"/>
      <c r="AB20" s="1806"/>
      <c r="AC20" s="1806"/>
    </row>
    <row r="21" spans="1:29" ht="71.25">
      <c r="A21" s="404"/>
      <c r="B21" s="630" t="s">
        <v>2790</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53"/>
      <c r="Q21" s="1805" t="str">
        <f t="shared" si="8"/>
        <v>环境状况</v>
      </c>
      <c r="R21" s="770" t="s">
        <v>17</v>
      </c>
      <c r="S21" s="771">
        <f>F21</f>
        <v>100</v>
      </c>
      <c r="T21" s="770" t="s">
        <v>17</v>
      </c>
      <c r="U21" s="771">
        <f>H21</f>
        <v>100</v>
      </c>
      <c r="V21" s="770" t="s">
        <v>17</v>
      </c>
      <c r="W21" s="771">
        <f>J21</f>
        <v>100</v>
      </c>
      <c r="X21" s="1808"/>
      <c r="Y21" s="3253"/>
      <c r="Z21" s="1809" t="str">
        <f>Q21</f>
        <v>环境状况</v>
      </c>
      <c r="AA21" s="1806">
        <f t="shared" si="3"/>
        <v>1</v>
      </c>
      <c r="AB21" s="1806">
        <f t="shared" si="4"/>
        <v>1</v>
      </c>
      <c r="AC21" s="1806">
        <f t="shared" si="5"/>
        <v>1</v>
      </c>
    </row>
    <row r="22" spans="1:29" ht="15">
      <c r="A22" s="404"/>
      <c r="B22" s="631"/>
      <c r="C22" s="447"/>
      <c r="D22" s="448"/>
      <c r="E22" s="2605"/>
      <c r="F22" s="448"/>
      <c r="G22" s="2605"/>
      <c r="H22" s="448"/>
      <c r="I22" s="447"/>
      <c r="J22" s="448"/>
      <c r="K22" s="671"/>
      <c r="L22" s="1136"/>
      <c r="M22" s="1127"/>
      <c r="N22" s="1127"/>
      <c r="O22" s="1135"/>
      <c r="P22" s="3253"/>
      <c r="Q22" s="1805"/>
      <c r="R22" s="770"/>
      <c r="S22" s="771"/>
      <c r="T22" s="770"/>
      <c r="U22" s="771"/>
      <c r="V22" s="770"/>
      <c r="W22" s="771"/>
      <c r="X22" s="1808"/>
      <c r="Y22" s="3253"/>
      <c r="Z22" s="1809"/>
      <c r="AA22" s="1806">
        <v>1</v>
      </c>
      <c r="AB22" s="1806">
        <v>1</v>
      </c>
      <c r="AC22" s="1806">
        <v>1</v>
      </c>
    </row>
    <row r="23" spans="1:29" s="117" customFormat="1" ht="42.75">
      <c r="A23" s="648"/>
      <c r="B23" s="632" t="s">
        <v>2645</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53"/>
      <c r="Q23" s="1790" t="str">
        <f t="shared" si="8"/>
        <v>公共配套设施</v>
      </c>
      <c r="R23" s="766" t="s">
        <v>17</v>
      </c>
      <c r="S23" s="767">
        <f>F23</f>
        <v>100</v>
      </c>
      <c r="T23" s="766" t="s">
        <v>17</v>
      </c>
      <c r="U23" s="767">
        <f>H23</f>
        <v>100</v>
      </c>
      <c r="V23" s="766" t="s">
        <v>17</v>
      </c>
      <c r="W23" s="767">
        <f>J23</f>
        <v>100</v>
      </c>
      <c r="X23" s="768"/>
      <c r="Y23" s="3253"/>
      <c r="Z23" s="55" t="str">
        <f>Q23</f>
        <v>公共配套设施</v>
      </c>
      <c r="AA23" s="1806">
        <f>D23/F23</f>
        <v>1</v>
      </c>
      <c r="AB23" s="1806">
        <f>D23/H23</f>
        <v>1</v>
      </c>
      <c r="AC23" s="1806">
        <f>D23/J23</f>
        <v>1</v>
      </c>
    </row>
    <row r="24" spans="1:29" s="117" customFormat="1" ht="15">
      <c r="A24" s="648"/>
      <c r="B24" s="631"/>
      <c r="C24" s="2694"/>
      <c r="D24" s="448"/>
      <c r="E24" s="2605"/>
      <c r="F24" s="448"/>
      <c r="G24" s="2605"/>
      <c r="H24" s="448"/>
      <c r="I24" s="447"/>
      <c r="J24" s="448"/>
      <c r="K24" s="671"/>
      <c r="L24" s="1128"/>
      <c r="M24" s="1129"/>
      <c r="N24" s="1129"/>
      <c r="O24" s="1130"/>
      <c r="P24" s="3253"/>
      <c r="Q24" s="1790"/>
      <c r="R24" s="766"/>
      <c r="S24" s="767"/>
      <c r="T24" s="766"/>
      <c r="U24" s="767"/>
      <c r="V24" s="766"/>
      <c r="W24" s="767"/>
      <c r="X24" s="768"/>
      <c r="Y24" s="3253"/>
      <c r="Z24" s="55"/>
      <c r="AA24" s="769">
        <v>1</v>
      </c>
      <c r="AB24" s="769">
        <v>1</v>
      </c>
      <c r="AC24" s="769">
        <v>1</v>
      </c>
    </row>
    <row r="25" spans="1:29" s="117" customFormat="1" ht="28.5">
      <c r="A25" s="648"/>
      <c r="B25" s="632" t="s">
        <v>2646</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53"/>
      <c r="Q25" s="1790" t="str">
        <f t="shared" ref="Q25" si="9">B25</f>
        <v>基础设施水平</v>
      </c>
      <c r="R25" s="766" t="s">
        <v>17</v>
      </c>
      <c r="S25" s="767">
        <f>F25</f>
        <v>100</v>
      </c>
      <c r="T25" s="766" t="s">
        <v>17</v>
      </c>
      <c r="U25" s="767">
        <f>H25</f>
        <v>100</v>
      </c>
      <c r="V25" s="766" t="s">
        <v>17</v>
      </c>
      <c r="W25" s="767">
        <f>J25</f>
        <v>100</v>
      </c>
      <c r="X25" s="768"/>
      <c r="Y25" s="3253"/>
      <c r="Z25" s="55" t="str">
        <f>Q25</f>
        <v>基础设施水平</v>
      </c>
      <c r="AA25" s="1806">
        <f>D25/F25</f>
        <v>1</v>
      </c>
      <c r="AB25" s="1806">
        <f>D25/H25</f>
        <v>1</v>
      </c>
      <c r="AC25" s="1806">
        <f>D25/J25</f>
        <v>1</v>
      </c>
    </row>
    <row r="26" spans="1:29" s="117" customFormat="1" ht="15">
      <c r="A26" s="648"/>
      <c r="B26" s="631"/>
      <c r="C26" s="2694"/>
      <c r="D26" s="448"/>
      <c r="E26" s="2695"/>
      <c r="F26" s="448"/>
      <c r="G26" s="2695"/>
      <c r="H26" s="448"/>
      <c r="I26" s="2695"/>
      <c r="J26" s="448"/>
      <c r="K26" s="671"/>
      <c r="L26" s="1128"/>
      <c r="M26" s="1129"/>
      <c r="N26" s="1129"/>
      <c r="O26" s="1130"/>
      <c r="P26" s="3253"/>
      <c r="Q26" s="1790"/>
      <c r="R26" s="766"/>
      <c r="S26" s="767"/>
      <c r="T26" s="766"/>
      <c r="U26" s="767"/>
      <c r="V26" s="766"/>
      <c r="W26" s="767"/>
      <c r="X26" s="768"/>
      <c r="Y26" s="3253"/>
      <c r="Z26" s="55"/>
      <c r="AA26" s="769">
        <v>1</v>
      </c>
      <c r="AB26" s="769">
        <v>1</v>
      </c>
      <c r="AC26" s="769">
        <v>1</v>
      </c>
    </row>
    <row r="27" spans="1:29" ht="15">
      <c r="A27" s="428"/>
      <c r="B27" s="631" t="s">
        <v>2647</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53"/>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253"/>
      <c r="Z27" s="1809" t="str">
        <f t="shared" ref="Z27:Z40" si="13">Q27</f>
        <v>临街状况</v>
      </c>
      <c r="AA27" s="1806">
        <f t="shared" si="3"/>
        <v>1</v>
      </c>
      <c r="AB27" s="1806">
        <f t="shared" si="4"/>
        <v>1</v>
      </c>
      <c r="AC27" s="1806">
        <f t="shared" si="5"/>
        <v>1</v>
      </c>
    </row>
    <row r="28" spans="1:29" ht="27">
      <c r="A28" s="428"/>
      <c r="B28" s="632" t="s">
        <v>2682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53"/>
      <c r="Q28" s="1805" t="str">
        <f t="shared" si="8"/>
        <v>毗邻道路的类型与等级</v>
      </c>
      <c r="R28" s="770" t="s">
        <v>17</v>
      </c>
      <c r="S28" s="771">
        <f t="shared" si="10"/>
        <v>100</v>
      </c>
      <c r="T28" s="770" t="s">
        <v>17</v>
      </c>
      <c r="U28" s="771">
        <f t="shared" si="11"/>
        <v>100</v>
      </c>
      <c r="V28" s="770" t="s">
        <v>17</v>
      </c>
      <c r="W28" s="771">
        <f t="shared" si="12"/>
        <v>100</v>
      </c>
      <c r="X28" s="1808"/>
      <c r="Y28" s="3253"/>
      <c r="Z28" s="1809" t="str">
        <f t="shared" si="13"/>
        <v>毗邻道路的类型与等级</v>
      </c>
      <c r="AA28" s="1806">
        <f t="shared" si="3"/>
        <v>1</v>
      </c>
      <c r="AB28" s="1806">
        <f t="shared" si="4"/>
        <v>1</v>
      </c>
      <c r="AC28" s="1806">
        <f t="shared" si="5"/>
        <v>1</v>
      </c>
    </row>
    <row r="29" spans="1:29" ht="15">
      <c r="A29" s="428"/>
      <c r="B29" s="631"/>
      <c r="C29" s="447"/>
      <c r="D29" s="448"/>
      <c r="E29" s="2605"/>
      <c r="F29" s="448"/>
      <c r="G29" s="2605"/>
      <c r="H29" s="448"/>
      <c r="I29" s="2605"/>
      <c r="J29" s="448"/>
      <c r="K29" s="613"/>
      <c r="L29" s="1136"/>
      <c r="M29" s="1127"/>
      <c r="N29" s="1127"/>
      <c r="O29" s="1135"/>
      <c r="P29" s="3253"/>
      <c r="Q29" s="1805"/>
      <c r="R29" s="770"/>
      <c r="S29" s="771"/>
      <c r="T29" s="770"/>
      <c r="U29" s="771"/>
      <c r="V29" s="770"/>
      <c r="W29" s="771"/>
      <c r="X29" s="1808"/>
      <c r="Y29" s="3253"/>
      <c r="Z29" s="1809"/>
      <c r="AA29" s="1806">
        <v>1</v>
      </c>
      <c r="AB29" s="1806">
        <v>1</v>
      </c>
      <c r="AC29" s="1806">
        <v>1</v>
      </c>
    </row>
    <row r="30" spans="1:29" ht="15">
      <c r="A30" s="428"/>
      <c r="B30" s="653" t="s">
        <v>2741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53"/>
      <c r="Q30" s="1805" t="str">
        <f t="shared" si="8"/>
        <v>土地级别</v>
      </c>
      <c r="R30" s="770" t="s">
        <v>17</v>
      </c>
      <c r="S30" s="771">
        <f t="shared" si="10"/>
        <v>100</v>
      </c>
      <c r="T30" s="770" t="s">
        <v>17</v>
      </c>
      <c r="U30" s="771">
        <f t="shared" si="11"/>
        <v>100</v>
      </c>
      <c r="V30" s="770" t="s">
        <v>17</v>
      </c>
      <c r="W30" s="771">
        <f t="shared" si="12"/>
        <v>100</v>
      </c>
      <c r="X30" s="1808"/>
      <c r="Y30" s="3253"/>
      <c r="Z30" s="1809" t="str">
        <f t="shared" si="13"/>
        <v>土地级别</v>
      </c>
      <c r="AA30" s="1806">
        <f t="shared" si="3"/>
        <v>1</v>
      </c>
      <c r="AB30" s="1806">
        <f t="shared" si="4"/>
        <v>1</v>
      </c>
      <c r="AC30" s="1806">
        <f t="shared" si="5"/>
        <v>1</v>
      </c>
    </row>
    <row r="31" spans="1:29" ht="15">
      <c r="A31" s="404"/>
      <c r="B31" s="2672">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3"/>
      <c r="Q31" s="1805">
        <f t="shared" si="8"/>
        <v>111</v>
      </c>
      <c r="R31" s="770" t="s">
        <v>17</v>
      </c>
      <c r="S31" s="771">
        <f t="shared" si="10"/>
        <v>100</v>
      </c>
      <c r="T31" s="770" t="s">
        <v>17</v>
      </c>
      <c r="U31" s="771">
        <f t="shared" si="11"/>
        <v>100</v>
      </c>
      <c r="V31" s="770" t="s">
        <v>17</v>
      </c>
      <c r="W31" s="771">
        <f t="shared" si="12"/>
        <v>100</v>
      </c>
      <c r="X31" s="1808"/>
      <c r="Y31" s="3253"/>
      <c r="Z31" s="1809">
        <f t="shared" si="13"/>
        <v>111</v>
      </c>
      <c r="AA31" s="1806">
        <f t="shared" si="3"/>
        <v>1</v>
      </c>
      <c r="AB31" s="1806">
        <f t="shared" si="4"/>
        <v>1</v>
      </c>
      <c r="AC31" s="1806">
        <f t="shared" si="5"/>
        <v>1</v>
      </c>
    </row>
    <row r="32" spans="1:29" ht="15">
      <c r="A32" s="674"/>
      <c r="B32" s="2708">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10" t="s">
        <v>2556</v>
      </c>
      <c r="Q32" s="1805">
        <f t="shared" si="8"/>
        <v>111</v>
      </c>
      <c r="R32" s="770" t="s">
        <v>17</v>
      </c>
      <c r="S32" s="771">
        <f t="shared" si="10"/>
        <v>100</v>
      </c>
      <c r="T32" s="770" t="s">
        <v>17</v>
      </c>
      <c r="U32" s="771">
        <f t="shared" si="11"/>
        <v>100</v>
      </c>
      <c r="V32" s="770" t="s">
        <v>17</v>
      </c>
      <c r="W32" s="771">
        <f t="shared" si="12"/>
        <v>100</v>
      </c>
      <c r="X32" s="1808"/>
      <c r="Y32" s="3257" t="s">
        <v>2556</v>
      </c>
      <c r="Z32" s="1809">
        <f t="shared" si="13"/>
        <v>111</v>
      </c>
      <c r="AA32" s="1806">
        <f t="shared" si="3"/>
        <v>1</v>
      </c>
      <c r="AB32" s="1806">
        <f t="shared" si="4"/>
        <v>1</v>
      </c>
      <c r="AC32" s="1806">
        <f t="shared" si="5"/>
        <v>1</v>
      </c>
    </row>
    <row r="33" spans="1:29" s="471" customFormat="1" ht="15.75" thickBot="1">
      <c r="A33" s="675"/>
      <c r="B33" s="2709">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57"/>
      <c r="Q33" s="1805">
        <f t="shared" si="8"/>
        <v>111</v>
      </c>
      <c r="R33" s="773" t="s">
        <v>17</v>
      </c>
      <c r="S33" s="774">
        <f t="shared" si="10"/>
        <v>100</v>
      </c>
      <c r="T33" s="773" t="s">
        <v>17</v>
      </c>
      <c r="U33" s="774">
        <f t="shared" si="11"/>
        <v>100</v>
      </c>
      <c r="V33" s="773" t="s">
        <v>17</v>
      </c>
      <c r="W33" s="774">
        <f t="shared" si="12"/>
        <v>100</v>
      </c>
      <c r="X33" s="775"/>
      <c r="Y33" s="3257"/>
      <c r="Z33" s="776">
        <f t="shared" si="13"/>
        <v>111</v>
      </c>
      <c r="AA33" s="1806">
        <f t="shared" si="3"/>
        <v>1</v>
      </c>
      <c r="AB33" s="1806">
        <f t="shared" si="4"/>
        <v>1</v>
      </c>
      <c r="AC33" s="1806">
        <f t="shared" si="5"/>
        <v>1</v>
      </c>
    </row>
    <row r="34" spans="1:29" ht="15">
      <c r="A34" s="440" t="s">
        <v>2554</v>
      </c>
      <c r="B34" s="456" t="s">
        <v>2742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57"/>
      <c r="Q34" s="1805" t="str">
        <f>B34</f>
        <v>宗地面积</v>
      </c>
      <c r="R34" s="770" t="s">
        <v>17</v>
      </c>
      <c r="S34" s="771" t="e">
        <f t="shared" si="10"/>
        <v>#N/A</v>
      </c>
      <c r="T34" s="770" t="s">
        <v>17</v>
      </c>
      <c r="U34" s="771" t="e">
        <f t="shared" si="11"/>
        <v>#N/A</v>
      </c>
      <c r="V34" s="770" t="s">
        <v>17</v>
      </c>
      <c r="W34" s="771" t="e">
        <f t="shared" si="12"/>
        <v>#N/A</v>
      </c>
      <c r="X34" s="1808"/>
      <c r="Y34" s="3257"/>
      <c r="Z34" s="1809" t="str">
        <f t="shared" si="13"/>
        <v>宗地面积</v>
      </c>
      <c r="AA34" s="1806" t="e">
        <f t="shared" si="3"/>
        <v>#N/A</v>
      </c>
      <c r="AB34" s="1806" t="e">
        <f t="shared" si="4"/>
        <v>#N/A</v>
      </c>
      <c r="AC34" s="1806" t="e">
        <f t="shared" si="5"/>
        <v>#N/A</v>
      </c>
    </row>
    <row r="35" spans="1:29" ht="15">
      <c r="A35" s="472"/>
      <c r="B35" s="422" t="s">
        <v>2743</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57"/>
      <c r="Q35" s="1805" t="str">
        <f t="shared" ref="Q35:Q40" si="14">B35</f>
        <v>宗地形状</v>
      </c>
      <c r="R35" s="770" t="s">
        <v>17</v>
      </c>
      <c r="S35" s="771">
        <f t="shared" si="10"/>
        <v>100</v>
      </c>
      <c r="T35" s="770" t="s">
        <v>17</v>
      </c>
      <c r="U35" s="771">
        <f t="shared" si="11"/>
        <v>100</v>
      </c>
      <c r="V35" s="770" t="s">
        <v>17</v>
      </c>
      <c r="W35" s="771">
        <f t="shared" si="12"/>
        <v>100</v>
      </c>
      <c r="X35" s="1808"/>
      <c r="Y35" s="3257"/>
      <c r="Z35" s="1809" t="str">
        <f t="shared" si="13"/>
        <v>宗地形状</v>
      </c>
      <c r="AA35" s="1806">
        <f t="shared" si="3"/>
        <v>1</v>
      </c>
      <c r="AB35" s="1806">
        <f t="shared" si="4"/>
        <v>1</v>
      </c>
      <c r="AC35" s="1806">
        <f t="shared" si="5"/>
        <v>1</v>
      </c>
    </row>
    <row r="36" spans="1:29" s="117" customFormat="1" ht="15">
      <c r="A36" s="473"/>
      <c r="B36" s="422" t="s">
        <v>2745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57"/>
      <c r="Q36" s="1805" t="str">
        <f t="shared" si="14"/>
        <v>宗地开发程度</v>
      </c>
      <c r="R36" s="766" t="s">
        <v>17</v>
      </c>
      <c r="S36" s="767">
        <f t="shared" si="10"/>
        <v>100</v>
      </c>
      <c r="T36" s="766" t="s">
        <v>17</v>
      </c>
      <c r="U36" s="767">
        <f t="shared" si="11"/>
        <v>100</v>
      </c>
      <c r="V36" s="766" t="s">
        <v>17</v>
      </c>
      <c r="W36" s="767">
        <f t="shared" si="12"/>
        <v>100</v>
      </c>
      <c r="X36" s="768"/>
      <c r="Y36" s="3257"/>
      <c r="Z36" s="55" t="str">
        <f t="shared" si="13"/>
        <v>宗地开发程度</v>
      </c>
      <c r="AA36" s="769">
        <f t="shared" si="3"/>
        <v>1</v>
      </c>
      <c r="AB36" s="769">
        <f t="shared" si="4"/>
        <v>1</v>
      </c>
      <c r="AC36" s="769">
        <f t="shared" si="5"/>
        <v>1</v>
      </c>
    </row>
    <row r="37" spans="1:29" ht="15">
      <c r="A37" s="472"/>
      <c r="B37" s="422" t="s">
        <v>2746</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57" t="s">
        <v>2556</v>
      </c>
      <c r="Q37" s="1805" t="str">
        <f t="shared" si="14"/>
        <v>工程地质条件</v>
      </c>
      <c r="R37" s="770" t="s">
        <v>17</v>
      </c>
      <c r="S37" s="771">
        <f t="shared" si="10"/>
        <v>100</v>
      </c>
      <c r="T37" s="770" t="s">
        <v>17</v>
      </c>
      <c r="U37" s="771">
        <f t="shared" si="11"/>
        <v>100</v>
      </c>
      <c r="V37" s="770" t="s">
        <v>17</v>
      </c>
      <c r="W37" s="771">
        <f t="shared" si="12"/>
        <v>100</v>
      </c>
      <c r="X37" s="1808"/>
      <c r="Y37" s="3257" t="s">
        <v>2556</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57"/>
      <c r="Q38" s="1805">
        <f t="shared" si="14"/>
        <v>111</v>
      </c>
      <c r="R38" s="770" t="s">
        <v>17</v>
      </c>
      <c r="S38" s="771">
        <f t="shared" si="10"/>
        <v>100</v>
      </c>
      <c r="T38" s="770" t="s">
        <v>17</v>
      </c>
      <c r="U38" s="771">
        <f t="shared" si="11"/>
        <v>100</v>
      </c>
      <c r="V38" s="770" t="s">
        <v>17</v>
      </c>
      <c r="W38" s="771">
        <f t="shared" si="12"/>
        <v>100</v>
      </c>
      <c r="X38" s="1808"/>
      <c r="Y38" s="3257"/>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57"/>
      <c r="Q39" s="1805">
        <f t="shared" si="14"/>
        <v>111</v>
      </c>
      <c r="R39" s="770" t="s">
        <v>17</v>
      </c>
      <c r="S39" s="771">
        <f t="shared" si="10"/>
        <v>100</v>
      </c>
      <c r="T39" s="770" t="s">
        <v>17</v>
      </c>
      <c r="U39" s="771">
        <f t="shared" si="11"/>
        <v>100</v>
      </c>
      <c r="V39" s="770" t="s">
        <v>17</v>
      </c>
      <c r="W39" s="771">
        <f t="shared" si="12"/>
        <v>100</v>
      </c>
      <c r="X39" s="1808"/>
      <c r="Y39" s="3257"/>
      <c r="Z39" s="1809">
        <f t="shared" si="13"/>
        <v>111</v>
      </c>
      <c r="AA39" s="1806">
        <f t="shared" si="3"/>
        <v>1</v>
      </c>
      <c r="AB39" s="1806">
        <f t="shared" si="4"/>
        <v>1</v>
      </c>
      <c r="AC39" s="1806">
        <f t="shared" si="5"/>
        <v>1</v>
      </c>
    </row>
    <row r="40" spans="1:29" s="471" customFormat="1" ht="15.75" thickBot="1">
      <c r="A40" s="468"/>
      <c r="B40" s="1383">
        <v>111</v>
      </c>
      <c r="C40" s="2697"/>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57"/>
      <c r="Q40" s="1805">
        <f t="shared" si="14"/>
        <v>111</v>
      </c>
      <c r="R40" s="773" t="s">
        <v>17</v>
      </c>
      <c r="S40" s="774">
        <f t="shared" si="10"/>
        <v>100</v>
      </c>
      <c r="T40" s="773" t="s">
        <v>17</v>
      </c>
      <c r="U40" s="774">
        <f t="shared" si="11"/>
        <v>100</v>
      </c>
      <c r="V40" s="773" t="s">
        <v>17</v>
      </c>
      <c r="W40" s="774">
        <f t="shared" si="12"/>
        <v>100</v>
      </c>
      <c r="X40" s="775"/>
      <c r="Y40" s="3257"/>
      <c r="Z40" s="776">
        <f t="shared" si="13"/>
        <v>111</v>
      </c>
      <c r="AA40" s="1806">
        <f t="shared" si="3"/>
        <v>1</v>
      </c>
      <c r="AB40" s="1806">
        <f t="shared" si="4"/>
        <v>1</v>
      </c>
      <c r="AC40" s="1806">
        <f t="shared" si="5"/>
        <v>1</v>
      </c>
    </row>
    <row r="41" spans="1:29" ht="15">
      <c r="A41" s="479" t="s">
        <v>2711</v>
      </c>
      <c r="B41" s="2698" t="s">
        <v>2791</v>
      </c>
      <c r="C41" s="681" t="s">
        <v>1</v>
      </c>
      <c r="D41" s="481"/>
      <c r="E41" s="482"/>
      <c r="F41" s="483"/>
      <c r="G41" s="484"/>
      <c r="H41" s="485"/>
      <c r="I41" s="482"/>
      <c r="J41" s="485"/>
      <c r="K41" s="779"/>
      <c r="L41" s="1139"/>
      <c r="M41" s="1127"/>
      <c r="N41" s="1127"/>
      <c r="O41" s="1140"/>
      <c r="P41" s="3250" t="str">
        <f>A41</f>
        <v>成交单价</v>
      </c>
      <c r="Q41" s="3250"/>
      <c r="R41" s="3281">
        <f>E41</f>
        <v>0</v>
      </c>
      <c r="S41" s="3281"/>
      <c r="T41" s="3281">
        <f>G41</f>
        <v>0</v>
      </c>
      <c r="U41" s="3281"/>
      <c r="V41" s="3281">
        <f>I41</f>
        <v>0</v>
      </c>
      <c r="W41" s="3281"/>
      <c r="X41" s="755"/>
      <c r="Y41" s="777"/>
      <c r="Z41" s="755"/>
      <c r="AA41" s="755"/>
      <c r="AB41" s="755"/>
      <c r="AC41" s="755"/>
    </row>
    <row r="42" spans="1:29" ht="15.75" thickBot="1">
      <c r="A42" s="486" t="s">
        <v>2660</v>
      </c>
      <c r="B42" s="682"/>
      <c r="C42" s="490" t="e">
        <f>R43</f>
        <v>#DIV/0!</v>
      </c>
      <c r="D42" s="489"/>
      <c r="E42" s="490" t="e">
        <f>R42</f>
        <v>#DIV/0!</v>
      </c>
      <c r="F42" s="491"/>
      <c r="G42" s="488" t="e">
        <f>T42</f>
        <v>#DIV/0!</v>
      </c>
      <c r="H42" s="489"/>
      <c r="I42" s="490" t="e">
        <f>V42</f>
        <v>#DIV/0!</v>
      </c>
      <c r="J42" s="489"/>
      <c r="K42" s="780"/>
      <c r="L42" s="1139"/>
      <c r="M42" s="1127"/>
      <c r="N42" s="1127"/>
      <c r="O42" s="1140"/>
      <c r="P42" s="3250" t="str">
        <f>A42</f>
        <v>比较价值（元/平方米）</v>
      </c>
      <c r="Q42" s="3250"/>
      <c r="R42" s="3311" t="e">
        <f>ROUND(PRODUCT(R41,AA7:AA40),0)</f>
        <v>#DIV/0!</v>
      </c>
      <c r="S42" s="3311"/>
      <c r="T42" s="3311" t="e">
        <f>ROUND(PRODUCT(T41,AB7:AB40),0)</f>
        <v>#DIV/0!</v>
      </c>
      <c r="U42" s="3311"/>
      <c r="V42" s="3311" t="e">
        <f>ROUND(PRODUCT(V41,AC7:AC40),0)</f>
        <v>#DIV/0!</v>
      </c>
      <c r="W42" s="3311"/>
      <c r="X42" s="755"/>
      <c r="Y42" s="755"/>
      <c r="Z42" s="755"/>
      <c r="AA42" s="755"/>
      <c r="AB42" s="755"/>
      <c r="AC42" s="755"/>
    </row>
    <row r="43" spans="1:29" ht="15.75" thickBot="1">
      <c r="A43" s="492" t="s">
        <v>2661</v>
      </c>
      <c r="B43" s="493"/>
      <c r="C43" s="494" t="e">
        <f>R43</f>
        <v>#DIV/0!</v>
      </c>
      <c r="D43" s="494"/>
      <c r="E43" s="494"/>
      <c r="F43" s="494"/>
      <c r="G43" s="494"/>
      <c r="H43" s="494"/>
      <c r="I43" s="494"/>
      <c r="J43" s="494"/>
      <c r="K43" s="781"/>
      <c r="L43" s="1139"/>
      <c r="M43" s="1127"/>
      <c r="N43" s="1127"/>
      <c r="O43" s="1140"/>
      <c r="P43" s="3247" t="str">
        <f>A43</f>
        <v>估价对象XX用房的比较价值（楼面单价，元/平方米）</v>
      </c>
      <c r="Q43" s="3248"/>
      <c r="R43" s="3312" t="e">
        <f>ROUND(AVERAGE(R42:V42),0)</f>
        <v>#DIV/0!</v>
      </c>
      <c r="S43" s="3312"/>
      <c r="T43" s="3312"/>
      <c r="U43" s="3312"/>
      <c r="V43" s="3312"/>
      <c r="W43" s="3312"/>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2749</v>
      </c>
      <c r="B50" s="684" t="s">
        <v>2750</v>
      </c>
      <c r="C50" s="2699" t="s">
        <v>2751</v>
      </c>
      <c r="D50" s="2700" t="s">
        <v>2752</v>
      </c>
      <c r="E50" s="685" t="s">
        <v>2753</v>
      </c>
      <c r="F50" s="686" t="s">
        <v>2754</v>
      </c>
      <c r="G50" s="3265" t="s">
        <v>2755</v>
      </c>
      <c r="H50" s="3313"/>
      <c r="I50" s="1809" t="s">
        <v>2792</v>
      </c>
      <c r="J50" s="1809">
        <f>项目基本情况!F35</f>
        <v>0</v>
      </c>
      <c r="K50" s="2702" t="s">
        <v>2757</v>
      </c>
      <c r="L50" s="1102"/>
      <c r="M50" s="1140"/>
      <c r="N50" s="1140"/>
      <c r="O50" s="1140"/>
    </row>
    <row r="51" spans="1:17" s="691" customFormat="1">
      <c r="A51" s="687" t="s">
        <v>2758</v>
      </c>
      <c r="B51" s="688" t="e">
        <f>C43</f>
        <v>#DIV/0!</v>
      </c>
      <c r="C51" s="689">
        <v>1</v>
      </c>
      <c r="D51" s="1159">
        <v>1</v>
      </c>
      <c r="E51" s="689">
        <f>'数据-汇总表'!E8+'数据-汇总表'!E9</f>
        <v>3075.7000000000007</v>
      </c>
      <c r="F51" s="690" t="e">
        <f t="shared" ref="F51:F60" si="15">ROUND(B51*E51/10000,0)</f>
        <v>#DIV/0!</v>
      </c>
      <c r="G51" s="3261"/>
      <c r="H51" s="3250"/>
      <c r="I51" s="938">
        <v>1</v>
      </c>
      <c r="J51" s="938">
        <v>1</v>
      </c>
      <c r="K51" s="1141"/>
      <c r="L51" s="937"/>
      <c r="M51" s="937"/>
      <c r="N51" s="937"/>
      <c r="O51" s="937"/>
    </row>
    <row r="52" spans="1:17" s="691" customFormat="1">
      <c r="A52" s="692" t="s">
        <v>2759</v>
      </c>
      <c r="B52" s="262" t="e">
        <f>ROUND($C$43*C52*D52,0)</f>
        <v>#DIV/0!</v>
      </c>
      <c r="C52" s="200">
        <f t="shared" ref="C52:C60" si="16">IF($C$50="北京市系数",I52,J52)</f>
        <v>0.7</v>
      </c>
      <c r="D52" s="1160">
        <v>0.25</v>
      </c>
      <c r="E52" s="693"/>
      <c r="F52" s="690" t="e">
        <f t="shared" si="15"/>
        <v>#DIV/0!</v>
      </c>
      <c r="G52" s="3314" t="s">
        <v>2760</v>
      </c>
      <c r="H52" s="1100" t="str">
        <f>项目基本情况!B37</f>
        <v>五级</v>
      </c>
      <c r="I52" s="938">
        <f>SUMIF(修正!A45:A56,H52,修正!B45:B56)</f>
        <v>0.7</v>
      </c>
      <c r="J52" s="939"/>
      <c r="K52" s="1140"/>
      <c r="L52" s="937"/>
      <c r="M52" s="937"/>
      <c r="N52" s="937"/>
      <c r="O52" s="937"/>
    </row>
    <row r="53" spans="1:17" s="691" customFormat="1">
      <c r="A53" s="692" t="s">
        <v>2761</v>
      </c>
      <c r="B53" s="262" t="e">
        <f t="shared" ref="B53:B60" si="17">ROUND($C$43*C53*D53,0)</f>
        <v>#DIV/0!</v>
      </c>
      <c r="C53" s="200">
        <f t="shared" si="16"/>
        <v>0.4</v>
      </c>
      <c r="D53" s="1160">
        <v>0.25</v>
      </c>
      <c r="E53" s="693"/>
      <c r="F53" s="690" t="e">
        <f t="shared" si="15"/>
        <v>#DIV/0!</v>
      </c>
      <c r="G53" s="3314"/>
      <c r="H53" s="1100" t="str">
        <f>项目基本情况!B37</f>
        <v>五级</v>
      </c>
      <c r="I53" s="938">
        <f>SUMIF(修正!A45:A56,H53,修正!C45:C56)</f>
        <v>0.4</v>
      </c>
      <c r="J53" s="939"/>
      <c r="K53" s="1141"/>
      <c r="L53" s="937"/>
      <c r="M53" s="937"/>
      <c r="N53" s="937"/>
      <c r="O53" s="937"/>
    </row>
    <row r="54" spans="1:17" s="691" customFormat="1">
      <c r="A54" s="692" t="s">
        <v>2762</v>
      </c>
      <c r="B54" s="262" t="e">
        <f t="shared" si="17"/>
        <v>#DIV/0!</v>
      </c>
      <c r="C54" s="200">
        <f t="shared" si="16"/>
        <v>0.28000000000000003</v>
      </c>
      <c r="D54" s="1160">
        <v>0.25</v>
      </c>
      <c r="E54" s="693"/>
      <c r="F54" s="690" t="e">
        <f t="shared" si="15"/>
        <v>#DIV/0!</v>
      </c>
      <c r="G54" s="3314"/>
      <c r="H54" s="1100" t="str">
        <f>项目基本情况!B37</f>
        <v>五级</v>
      </c>
      <c r="I54" s="938">
        <f>SUMIF(修正!A45:A56,H54,修正!D45:D56)</f>
        <v>0.28000000000000003</v>
      </c>
      <c r="J54" s="939"/>
      <c r="K54" s="1140"/>
      <c r="L54" s="937"/>
      <c r="M54" s="937"/>
      <c r="N54" s="937"/>
      <c r="O54" s="937"/>
    </row>
    <row r="55" spans="1:17" s="691" customFormat="1">
      <c r="A55" s="692" t="s">
        <v>2763</v>
      </c>
      <c r="B55" s="262" t="e">
        <f t="shared" si="17"/>
        <v>#DIV/0!</v>
      </c>
      <c r="C55" s="200">
        <f t="shared" si="16"/>
        <v>0.25</v>
      </c>
      <c r="D55" s="1160">
        <v>0.25</v>
      </c>
      <c r="E55" s="693"/>
      <c r="F55" s="690" t="e">
        <f t="shared" si="15"/>
        <v>#DIV/0!</v>
      </c>
      <c r="G55" s="3314"/>
      <c r="H55" s="1100" t="str">
        <f>项目基本情况!B37</f>
        <v>五级</v>
      </c>
      <c r="I55" s="938">
        <f>SUMIF(修正!A45:A56,H55,修正!E45:E56)</f>
        <v>0.25</v>
      </c>
      <c r="J55" s="939"/>
      <c r="K55" s="1141"/>
      <c r="L55" s="937"/>
      <c r="M55" s="937"/>
      <c r="N55" s="937"/>
      <c r="O55" s="937"/>
    </row>
    <row r="56" spans="1:17" s="691" customFormat="1">
      <c r="A56" s="692" t="s">
        <v>2764</v>
      </c>
      <c r="B56" s="262" t="e">
        <f t="shared" si="17"/>
        <v>#DIV/0!</v>
      </c>
      <c r="C56" s="200">
        <f t="shared" si="16"/>
        <v>0</v>
      </c>
      <c r="D56" s="1160">
        <v>0.25</v>
      </c>
      <c r="E56" s="261">
        <f>'数据-汇总表'!E11</f>
        <v>0</v>
      </c>
      <c r="F56" s="690" t="e">
        <f t="shared" si="15"/>
        <v>#DIV/0!</v>
      </c>
      <c r="G56" s="2703" t="s">
        <v>2765</v>
      </c>
      <c r="H56" s="1100">
        <f>项目基本情况!C37</f>
        <v>0</v>
      </c>
      <c r="I56" s="938">
        <f>SUMIF(修正!A45:A56,H56,修正!F45:F56)</f>
        <v>0</v>
      </c>
      <c r="J56" s="939"/>
      <c r="K56" s="1140"/>
      <c r="L56" s="937"/>
      <c r="M56" s="937"/>
      <c r="N56" s="937"/>
      <c r="O56" s="937"/>
    </row>
    <row r="57" spans="1:17" s="691" customFormat="1">
      <c r="A57" s="692" t="s">
        <v>2766</v>
      </c>
      <c r="B57" s="262" t="e">
        <f t="shared" si="17"/>
        <v>#DIV/0!</v>
      </c>
      <c r="C57" s="200">
        <f t="shared" si="16"/>
        <v>0</v>
      </c>
      <c r="D57" s="1160">
        <v>0.25</v>
      </c>
      <c r="E57" s="261">
        <f>'数据-汇总表'!E12</f>
        <v>0</v>
      </c>
      <c r="F57" s="690" t="e">
        <f t="shared" si="15"/>
        <v>#DIV/0!</v>
      </c>
      <c r="G57" s="1105" t="s">
        <v>2767</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2768</v>
      </c>
      <c r="B58" s="262" t="e">
        <f t="shared" si="17"/>
        <v>#DIV/0!</v>
      </c>
      <c r="C58" s="200">
        <f t="shared" si="16"/>
        <v>0</v>
      </c>
      <c r="D58" s="1160">
        <v>0.25</v>
      </c>
      <c r="E58" s="261">
        <f>'数据-汇总表'!E13</f>
        <v>0</v>
      </c>
      <c r="F58" s="690" t="e">
        <f t="shared" si="15"/>
        <v>#DIV/0!</v>
      </c>
      <c r="G58" s="1105" t="s">
        <v>2769</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2770</v>
      </c>
      <c r="B59" s="262" t="e">
        <f t="shared" si="17"/>
        <v>#DIV/0!</v>
      </c>
      <c r="C59" s="200">
        <f t="shared" si="16"/>
        <v>0.2</v>
      </c>
      <c r="D59" s="1160">
        <v>0.25</v>
      </c>
      <c r="E59" s="261">
        <f>'数据-汇总表'!E14</f>
        <v>0</v>
      </c>
      <c r="F59" s="690" t="e">
        <f t="shared" si="15"/>
        <v>#DIV/0!</v>
      </c>
      <c r="G59" s="2703" t="s">
        <v>2760</v>
      </c>
      <c r="H59" s="1100" t="str">
        <f>项目基本情况!B37</f>
        <v>五级</v>
      </c>
      <c r="I59" s="938">
        <f>SUMIF(修正!A45:A56,H59,修正!H45:H56)</f>
        <v>0.2</v>
      </c>
      <c r="J59" s="939"/>
      <c r="K59" s="1141"/>
      <c r="L59" s="937"/>
      <c r="M59" s="937"/>
      <c r="N59" s="937"/>
      <c r="O59" s="937"/>
    </row>
    <row r="60" spans="1:17" s="691" customFormat="1" ht="15" thickBot="1">
      <c r="A60" s="692" t="s">
        <v>2771</v>
      </c>
      <c r="B60" s="262" t="e">
        <f t="shared" si="17"/>
        <v>#DIV/0!</v>
      </c>
      <c r="C60" s="200">
        <f t="shared" si="16"/>
        <v>0</v>
      </c>
      <c r="D60" s="1160">
        <v>0.25</v>
      </c>
      <c r="E60" s="261">
        <f>'数据-汇总表'!E15</f>
        <v>0</v>
      </c>
      <c r="F60" s="690" t="e">
        <f t="shared" si="15"/>
        <v>#DIV/0!</v>
      </c>
      <c r="G60" s="2704" t="s">
        <v>2765</v>
      </c>
      <c r="H60" s="1110">
        <f>项目基本情况!C37</f>
        <v>0</v>
      </c>
      <c r="I60" s="938">
        <f>SUMIF(修正!A45:A56,H60,修正!H45:H56)</f>
        <v>0</v>
      </c>
      <c r="J60" s="939"/>
      <c r="K60" s="1140"/>
      <c r="L60" s="937"/>
      <c r="M60" s="937"/>
      <c r="N60" s="937"/>
      <c r="O60" s="937"/>
    </row>
    <row r="61" spans="1:17" s="691" customFormat="1" ht="15" thickBot="1">
      <c r="A61" s="694" t="s">
        <v>2772</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2665</v>
      </c>
      <c r="B64" s="755"/>
      <c r="C64" s="760"/>
      <c r="D64" s="760"/>
      <c r="E64" s="760"/>
      <c r="F64" s="761"/>
      <c r="G64" s="761"/>
      <c r="H64" s="760"/>
      <c r="I64" s="760"/>
      <c r="J64" s="760"/>
      <c r="K64" s="762"/>
      <c r="L64" s="763"/>
      <c r="M64" s="760"/>
      <c r="N64" s="760"/>
      <c r="O64" s="1155"/>
      <c r="P64" s="503"/>
      <c r="Q64" s="504"/>
    </row>
    <row r="65" spans="1:17" s="508" customFormat="1" ht="15">
      <c r="A65" s="2705" t="s">
        <v>2773</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0" t="s">
        <v>2793</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2579</v>
      </c>
      <c r="B70" s="528" t="s">
        <v>2545</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2548</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2794</v>
      </c>
      <c r="C93" s="659" t="s">
        <v>2666</v>
      </c>
      <c r="D93" s="659" t="s">
        <v>2667</v>
      </c>
      <c r="E93" s="659" t="s">
        <v>2668</v>
      </c>
      <c r="F93" s="659" t="s">
        <v>2669</v>
      </c>
      <c r="G93" s="659" t="s">
        <v>2670</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2682</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2741</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2783</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2785</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2786</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40" t="s">
        <v>2795</v>
      </c>
      <c r="B1" s="241"/>
      <c r="C1" s="245" t="s">
        <v>2796</v>
      </c>
      <c r="D1" s="388">
        <f>SUM(D29:D30,D33:D39)</f>
        <v>0</v>
      </c>
      <c r="E1" s="2711"/>
      <c r="F1" s="2711"/>
      <c r="G1" s="2711"/>
      <c r="H1" s="2711"/>
      <c r="I1" s="2711"/>
      <c r="J1" s="2711"/>
      <c r="K1" s="1366"/>
      <c r="L1" s="2712" t="s">
        <v>2797</v>
      </c>
      <c r="M1" s="1076">
        <f>SUMPRODUCT((区片价!B5:B9=I2)*(区片价!C3:F3=E2)*(区片价!C5:F9))</f>
        <v>0</v>
      </c>
      <c r="N1" s="1079">
        <f>SUMPRODUCT((因素修正幅度!B5:B9=I2)*(因素修正幅度!C3:F3=E2)*(因素修正幅度!C5:F9))</f>
        <v>0</v>
      </c>
      <c r="O1" s="2713"/>
      <c r="P1" s="2713"/>
      <c r="Q1" s="1366"/>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5" t="s">
        <v>2803</v>
      </c>
      <c r="B2" s="248" t="e">
        <f>C26</f>
        <v>#DIV/0!</v>
      </c>
      <c r="C2" s="2715" t="s">
        <v>2804</v>
      </c>
      <c r="D2" s="2716" t="s">
        <v>2805</v>
      </c>
      <c r="E2" s="2717"/>
      <c r="F2" s="2716" t="s">
        <v>2806</v>
      </c>
      <c r="G2" s="2718">
        <f>IF(E2="商业",项目基本情况!B37,IF(E2="办公",项目基本情况!C37,IF(E2="住宅",项目基本情况!D37,项目基本情况!E37)))</f>
        <v>0</v>
      </c>
      <c r="H2" s="2716" t="s">
        <v>2807</v>
      </c>
      <c r="I2" s="2718">
        <f>IF(E2="商业",项目基本情况!B38,IF(E2="办公",项目基本情况!C38,IF(E2="住宅",项目基本情况!D38,项目基本情况!E38)))</f>
        <v>0</v>
      </c>
      <c r="J2" s="2719"/>
      <c r="K2" s="1366"/>
      <c r="L2" s="2720" t="s">
        <v>2808</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2809</v>
      </c>
      <c r="B3" s="248" t="e">
        <f>ROUND(B2*10000/D1,0)</f>
        <v>#DIV/0!</v>
      </c>
      <c r="C3" s="2715" t="s">
        <v>2810</v>
      </c>
      <c r="D3" s="2716" t="s">
        <v>2811</v>
      </c>
      <c r="E3" s="2721"/>
      <c r="F3" s="2722" t="s">
        <v>2812</v>
      </c>
      <c r="G3" s="912" t="e">
        <f>IF(F3="宗地容积率",'数据-汇总表'!I4,IF(F3="估价对象容积率",'数据-汇总表'!I6,'数据-汇总表'!I7))</f>
        <v>#DIV/0!</v>
      </c>
      <c r="H3" s="198" t="s">
        <v>2813</v>
      </c>
      <c r="I3" s="940"/>
      <c r="J3" s="2719" t="s">
        <v>2814</v>
      </c>
      <c r="K3" s="1366"/>
      <c r="L3" s="2720" t="s">
        <v>2815</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2"/>
      <c r="B4" s="3323"/>
      <c r="C4" s="3323"/>
      <c r="D4" s="3324"/>
      <c r="E4" s="3324"/>
      <c r="F4" s="3324"/>
      <c r="G4" s="3324"/>
      <c r="H4" s="3324"/>
      <c r="I4" s="3324"/>
      <c r="J4" s="3325"/>
      <c r="K4" s="1366"/>
      <c r="L4" s="2720" t="s">
        <v>2816</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2817</v>
      </c>
      <c r="C5" s="913" t="e">
        <f>ROUND(IF(E2="商业",C6*C7+C16,(IF(E2="住宅",C6*C12+C16,C6+C16))),0)</f>
        <v>#DIV/0!</v>
      </c>
      <c r="D5" s="1782" t="e">
        <f>ROUND(IF(F17="增加",C6+C16,C6-C16),0)</f>
        <v>#DIV/0!</v>
      </c>
      <c r="E5" s="1782"/>
      <c r="F5" s="2725"/>
      <c r="G5" s="2726"/>
      <c r="H5" s="2726"/>
      <c r="I5" s="2726"/>
      <c r="J5" s="2727"/>
      <c r="K5" s="2728"/>
      <c r="L5" s="2720" t="s">
        <v>2818</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2819</v>
      </c>
      <c r="B6" s="2734" t="s">
        <v>2820</v>
      </c>
      <c r="C6" s="914">
        <f>SUMIF(L1:L12,G2,M1:M12)</f>
        <v>0</v>
      </c>
      <c r="D6" s="2735" t="s">
        <v>2821</v>
      </c>
      <c r="E6" s="2736"/>
      <c r="F6" s="2736"/>
      <c r="G6" s="2737"/>
      <c r="H6" s="2737"/>
      <c r="I6" s="2737"/>
      <c r="J6" s="2738"/>
      <c r="K6" s="1837"/>
      <c r="L6" s="2720" t="s">
        <v>2822</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26" t="str">
        <f>IF(E2="商业",IF(C8="不临58条商业街","",2),"")</f>
        <v/>
      </c>
      <c r="B7" s="2739" t="s">
        <v>2823</v>
      </c>
      <c r="C7" s="915" t="e">
        <f>IF(C8="不临58条商业街",1,ROUND(1+(1.6*E8+1.2*E9+0.8*E10+0.4*E11)*C9,4))</f>
        <v>#DIV/0!</v>
      </c>
      <c r="D7" s="2740" t="s">
        <v>2824</v>
      </c>
      <c r="E7" s="941"/>
      <c r="F7" s="2741"/>
      <c r="G7" s="2742"/>
      <c r="H7" s="2742"/>
      <c r="I7" s="2742"/>
      <c r="J7" s="2743"/>
      <c r="K7" s="1837"/>
      <c r="L7" s="2720" t="s">
        <v>2825</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1" t="s">
        <v>2826</v>
      </c>
      <c r="X7" s="1600">
        <f>G2</f>
        <v>0</v>
      </c>
      <c r="Y7" s="1600" t="s">
        <v>2827</v>
      </c>
      <c r="Z7" s="1601" t="e">
        <f>G3</f>
        <v>#DIV/0!</v>
      </c>
      <c r="AA7" s="1602"/>
      <c r="AB7" s="1602"/>
      <c r="AC7" s="1603"/>
      <c r="AD7" s="1604"/>
      <c r="AE7" s="1604"/>
      <c r="AF7" s="1604"/>
      <c r="AG7" s="1604"/>
      <c r="AH7" s="1604"/>
      <c r="AI7" s="1604"/>
      <c r="AJ7" s="1605"/>
    </row>
    <row r="8" spans="1:36" ht="15">
      <c r="A8" s="3327"/>
      <c r="B8" s="198" t="s">
        <v>2828</v>
      </c>
      <c r="C8" s="2744"/>
      <c r="D8" s="916" t="s">
        <v>139</v>
      </c>
      <c r="E8" s="917" t="e">
        <f>ROUND(C11/E7,4)</f>
        <v>#DIV/0!</v>
      </c>
      <c r="F8" s="2745" t="s">
        <v>2829</v>
      </c>
      <c r="G8" s="2746"/>
      <c r="H8" s="2746"/>
      <c r="I8" s="2746"/>
      <c r="J8" s="2747"/>
      <c r="K8" s="1366"/>
      <c r="L8" s="2720" t="s">
        <v>2830</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19" t="s">
        <v>2831</v>
      </c>
      <c r="X8" s="3320"/>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327"/>
      <c r="B9" s="198" t="s">
        <v>2844</v>
      </c>
      <c r="C9" s="918">
        <f>SUMIF(修正!C59:C119,C8,修正!E59:E119)</f>
        <v>0</v>
      </c>
      <c r="D9" s="200" t="s">
        <v>140</v>
      </c>
      <c r="E9" s="200" t="e">
        <f>ROUND(C11/E7,4)</f>
        <v>#DIV/0!</v>
      </c>
      <c r="F9" s="2745" t="s">
        <v>2845</v>
      </c>
      <c r="G9" s="2746"/>
      <c r="H9" s="2746"/>
      <c r="I9" s="2746"/>
      <c r="J9" s="2747"/>
      <c r="K9" s="1366"/>
      <c r="L9" s="2720" t="s">
        <v>2846</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21" t="s">
        <v>2847</v>
      </c>
      <c r="X9" s="1607" t="s">
        <v>2848</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7"/>
      <c r="B10" s="198" t="s">
        <v>2849</v>
      </c>
      <c r="C10" s="200">
        <f>SUMIF(修正!C59:C119,C8,修正!F59:F119)</f>
        <v>0</v>
      </c>
      <c r="D10" s="200" t="s">
        <v>141</v>
      </c>
      <c r="E10" s="200" t="e">
        <f>ROUND(C11/E7,4)</f>
        <v>#DIV/0!</v>
      </c>
      <c r="F10" s="2745" t="s">
        <v>2850</v>
      </c>
      <c r="G10" s="2746"/>
      <c r="H10" s="2746"/>
      <c r="I10" s="2746"/>
      <c r="J10" s="2747"/>
      <c r="K10" s="1366"/>
      <c r="L10" s="2720" t="s">
        <v>2851</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2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7"/>
      <c r="B11" s="2748" t="s">
        <v>2852</v>
      </c>
      <c r="C11" s="919">
        <f>C10/4</f>
        <v>0</v>
      </c>
      <c r="D11" s="919" t="s">
        <v>142</v>
      </c>
      <c r="E11" s="919" t="e">
        <f>ROUND(C11/E7,4)</f>
        <v>#DIV/0!</v>
      </c>
      <c r="F11" s="2749" t="s">
        <v>2853</v>
      </c>
      <c r="G11" s="2750"/>
      <c r="H11" s="2750"/>
      <c r="I11" s="2750"/>
      <c r="J11" s="2751"/>
      <c r="K11" s="1366"/>
      <c r="L11" s="2720" t="s">
        <v>2854</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21" t="s">
        <v>2855</v>
      </c>
      <c r="X11" s="1610" t="s">
        <v>2856</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26" t="s">
        <v>2857</v>
      </c>
      <c r="B12" s="2752" t="s">
        <v>2858</v>
      </c>
      <c r="C12" s="915">
        <f>ROUND(C15*D15*E15*F15*G15*H15*I15*J15,4)</f>
        <v>1</v>
      </c>
      <c r="D12" s="2753" t="s">
        <v>2859</v>
      </c>
      <c r="E12" s="2754"/>
      <c r="F12" s="2754"/>
      <c r="G12" s="2755"/>
      <c r="H12" s="2755"/>
      <c r="I12" s="2755"/>
      <c r="J12" s="2756"/>
      <c r="K12" s="1366"/>
      <c r="L12" s="2757" t="s">
        <v>2860</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21"/>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8"/>
      <c r="B13" s="2758" t="s">
        <v>2862</v>
      </c>
      <c r="C13" s="2759" t="s">
        <v>2863</v>
      </c>
      <c r="D13" s="1803" t="s">
        <v>2864</v>
      </c>
      <c r="E13" s="1803" t="s">
        <v>2865</v>
      </c>
      <c r="F13" s="30" t="s">
        <v>2866</v>
      </c>
      <c r="G13" s="2760" t="s">
        <v>2867</v>
      </c>
      <c r="H13" s="2760" t="s">
        <v>2867</v>
      </c>
      <c r="I13" s="2760" t="s">
        <v>2867</v>
      </c>
      <c r="J13" s="2761" t="s">
        <v>2867</v>
      </c>
      <c r="K13" s="1366"/>
      <c r="L13" s="1366"/>
      <c r="M13" s="1366"/>
      <c r="N13" s="1366"/>
      <c r="O13" s="1366"/>
      <c r="P13" s="1366"/>
      <c r="Q13" s="1366"/>
      <c r="R13" s="1598">
        <v>12</v>
      </c>
      <c r="S13" s="1599"/>
      <c r="T13" s="1598" t="e">
        <f t="shared" si="0"/>
        <v>#DIV/0!</v>
      </c>
      <c r="U13" s="1599"/>
      <c r="V13" s="1598" t="e">
        <f t="shared" si="1"/>
        <v>#DIV/0!</v>
      </c>
      <c r="W13" s="3321"/>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28"/>
      <c r="B14" s="2762"/>
      <c r="C14" s="2763"/>
      <c r="D14" s="2764"/>
      <c r="E14" s="2764"/>
      <c r="F14" s="2765"/>
      <c r="G14" s="2766" t="s">
        <v>2868</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29"/>
      <c r="B15" s="2770" t="s">
        <v>2869</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26" t="s">
        <v>2874</v>
      </c>
      <c r="B16" s="2739" t="s">
        <v>2875</v>
      </c>
      <c r="C16" s="2929" t="e">
        <f>ROUND(IF(F17="与级别开发程度一致",0,(G17-E17)/C17),0)</f>
        <v>#DIV/0!</v>
      </c>
      <c r="D16" s="3340" t="s">
        <v>2879</v>
      </c>
      <c r="E16" s="3341"/>
      <c r="F16" s="3340" t="s">
        <v>2876</v>
      </c>
      <c r="G16" s="3341"/>
      <c r="H16" s="2773"/>
      <c r="I16" s="2773"/>
      <c r="J16" s="2933"/>
      <c r="K16" s="2773"/>
      <c r="L16" s="2773"/>
      <c r="M16" s="2773"/>
      <c r="N16" s="2773"/>
      <c r="O16" s="2774"/>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30"/>
      <c r="B17" s="2940" t="s">
        <v>2878</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4" t="s">
        <v>808</v>
      </c>
      <c r="B18" s="2935" t="s">
        <v>2881</v>
      </c>
      <c r="C18" s="2936">
        <f>SUMIF(修正!C18:C39,E3,修正!E18:E39)</f>
        <v>0</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809</v>
      </c>
      <c r="B19" s="2779" t="s">
        <v>2882</v>
      </c>
      <c r="C19" s="920" t="e">
        <f>ROUND(IF(H19="按公示增长率计算",SUMPRODUCT((地价!A3:A26=YEAR(G19)&amp;"-"&amp;ROUNDUP(MONTH(G19)/3,0))*(地价!X2:AB2=E2)*(地价!X3:AB26)),IF(H19="地价指数",M20/M19,(1+I19)^O19)),4)</f>
        <v>#DIV/0!</v>
      </c>
      <c r="D19" s="2783" t="s">
        <v>2883</v>
      </c>
      <c r="E19" s="921">
        <v>41640</v>
      </c>
      <c r="F19" s="2783" t="s">
        <v>2884</v>
      </c>
      <c r="G19" s="922">
        <f>'数据-取费表'!B2</f>
        <v>43619</v>
      </c>
      <c r="H19" s="2784" t="s">
        <v>2885</v>
      </c>
      <c r="I19" s="923" t="str">
        <f>IF(H19="季度增幅（自定义）",SUMIF(N21:N24,E2,O21:O24),"")</f>
        <v/>
      </c>
      <c r="J19" s="2781"/>
      <c r="K19" s="1373"/>
      <c r="L19" s="2785" t="s">
        <v>2886</v>
      </c>
      <c r="M19" s="1730">
        <f>ROUND(SUMIF(地价!B2:F2,E2,地价!B26:F26),0)</f>
        <v>0</v>
      </c>
      <c r="N19" s="2786" t="s">
        <v>2887</v>
      </c>
      <c r="O19" s="924">
        <f>ROUNDDOWN(DATEDIF(E19,G19,"M")/3,0)</f>
        <v>21</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810</v>
      </c>
      <c r="B20" s="2791" t="s">
        <v>2888</v>
      </c>
      <c r="C20" s="925" t="e">
        <f>ROUND(POWER(1+G20,J20-I20)*(POWER(1+G20,I20)-1)/(POWER(1+G20,J20)-1),4)</f>
        <v>#DIV/0!</v>
      </c>
      <c r="D20" s="2792" t="s">
        <v>2889</v>
      </c>
      <c r="E20" s="1763">
        <f ca="1">存贷款利率!D4/100</f>
        <v>4.3499999999999997E-2</v>
      </c>
      <c r="F20" s="2792" t="s">
        <v>2880</v>
      </c>
      <c r="G20" s="930">
        <f>SUMIF(M26:P26,E2,M28:P28)</f>
        <v>0</v>
      </c>
      <c r="H20" s="2792" t="s">
        <v>2890</v>
      </c>
      <c r="I20" s="931" t="e">
        <f>SUMIF('数据-取费表'!C6:C15,E2,'数据-取费表'!F6:F15)/COUNTIF('数据-取费表'!C6:C15,E2)</f>
        <v>#DIV/0!</v>
      </c>
      <c r="J20" s="932">
        <f>IF(E2="住宅",70,IF(E2="商业",40,50))</f>
        <v>50</v>
      </c>
      <c r="K20" s="1373"/>
      <c r="L20" s="2793" t="s">
        <v>2891</v>
      </c>
      <c r="M20" s="1731">
        <f>ROUND(SUMPRODUCT((地价!A4:A26=YEAR(G19)&amp;"-"&amp;ROUNDUP(MONTH(G19)/3,0))*(地价!B2:F2=E2)*(地价!B4:F26)),0)</f>
        <v>0</v>
      </c>
      <c r="N20" s="2794" t="s">
        <v>2892</v>
      </c>
      <c r="O20" s="2795" t="s">
        <v>2893</v>
      </c>
      <c r="P20" s="2796" t="s">
        <v>2894</v>
      </c>
      <c r="R20" s="1372"/>
      <c r="S20" s="1372"/>
      <c r="T20" s="1367"/>
      <c r="U20" s="1367"/>
      <c r="V20" s="1367"/>
      <c r="W20" s="1366"/>
      <c r="X20" s="1366"/>
      <c r="Y20" s="1366"/>
      <c r="Z20" s="1373"/>
      <c r="AA20" s="1374"/>
      <c r="AB20" s="1374"/>
      <c r="AC20" s="1374"/>
      <c r="AD20" s="1374"/>
      <c r="AE20" s="1374"/>
      <c r="AF20" s="1374"/>
    </row>
    <row r="21" spans="1:37" s="2732" customFormat="1" ht="15">
      <c r="A21" s="2797" t="s">
        <v>811</v>
      </c>
      <c r="B21" s="2798" t="s">
        <v>2895</v>
      </c>
      <c r="C21" s="933" t="e">
        <f>IF(B21="容积率修正",IF(G3&lt;=10,D22,J22),C23)</f>
        <v>#DIV/0!</v>
      </c>
      <c r="D21" s="2799"/>
      <c r="E21" s="2799"/>
      <c r="F21" s="2799"/>
      <c r="G21" s="2799"/>
      <c r="H21" s="2799"/>
      <c r="I21" s="2799"/>
      <c r="J21" s="2800"/>
      <c r="K21" s="1373"/>
      <c r="N21" s="2801" t="s">
        <v>2896</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2" customFormat="1" ht="14.25">
      <c r="A22" s="2658" t="s">
        <v>2897</v>
      </c>
      <c r="B22" s="2802" t="s">
        <v>2898</v>
      </c>
      <c r="C22" s="1805" t="s">
        <v>2899</v>
      </c>
      <c r="D22" s="1805" t="e">
        <f>IF(E22=G22,F22,IF(G3&lt;=10,ROUND(F22+(H22-F22)*(G3-E22)/(G22-E22),4),"——"))</f>
        <v>#DIV/0!</v>
      </c>
      <c r="E22" s="912"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3"/>
      <c r="N22" s="2801" t="s">
        <v>2900</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8" t="s">
        <v>2901</v>
      </c>
      <c r="B23" s="2803" t="s">
        <v>2902</v>
      </c>
      <c r="C23" s="1009" t="e">
        <f>ROUND(IF(G3&gt;1,IF(I3&lt;7,SUMPRODUCT((B93:B98=I3)*(C92:N92=G2)*(C93:N98)),SUMIF(C92:N92,G2,C100:N100)),IF(I3&lt;7,SUMPRODUCT((B102:B107=I3)*(C92:N92=G2)*(C102:N107)),SUMIF(C92:N92,G2,C109:N109))),4)</f>
        <v>#DIV/0!</v>
      </c>
      <c r="D23" s="2767"/>
      <c r="E23" s="2767"/>
      <c r="F23" s="2804"/>
      <c r="G23" s="2805"/>
      <c r="H23" s="2806"/>
      <c r="I23" s="2807"/>
      <c r="J23" s="2808"/>
      <c r="K23" s="1366"/>
      <c r="N23" s="2801" t="s">
        <v>2903</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2"/>
    </row>
    <row r="24" spans="1:37" s="2732" customFormat="1" ht="15.75" thickBot="1">
      <c r="A24" s="2790" t="s">
        <v>812</v>
      </c>
      <c r="B24" s="2779" t="s">
        <v>2904</v>
      </c>
      <c r="C24" s="920">
        <f>SUMIF(A45:A88,E2,B45:B88)</f>
        <v>0</v>
      </c>
      <c r="D24" s="2780"/>
      <c r="E24" s="2809"/>
      <c r="F24" s="2809"/>
      <c r="G24" s="2809"/>
      <c r="H24" s="2809"/>
      <c r="I24" s="2809"/>
      <c r="J24" s="2810"/>
      <c r="K24" s="1373"/>
      <c r="N24" s="2811" t="s">
        <v>2905</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0" t="s">
        <v>813</v>
      </c>
      <c r="B25" s="2812" t="s">
        <v>2906</v>
      </c>
      <c r="C25" s="926"/>
      <c r="D25" s="2742"/>
      <c r="E25" s="2742"/>
      <c r="F25" s="2813"/>
      <c r="G25" s="2742"/>
      <c r="H25" s="2742"/>
      <c r="I25" s="2742"/>
      <c r="J25" s="2743"/>
      <c r="K25" s="1366"/>
      <c r="N25" s="2814" t="s">
        <v>2907</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5"/>
      <c r="B26" s="2802" t="s">
        <v>2908</v>
      </c>
      <c r="C26" s="206" t="e">
        <f>E29+SUM(E33:E39)</f>
        <v>#DIV/0!</v>
      </c>
      <c r="D26" s="2816"/>
      <c r="E26" s="2767"/>
      <c r="F26" s="2817"/>
      <c r="G26" s="2767"/>
      <c r="H26" s="2767"/>
      <c r="I26" s="2767"/>
      <c r="J26" s="2818"/>
      <c r="K26" s="1366"/>
      <c r="L26" s="2771" t="s">
        <v>2805</v>
      </c>
      <c r="M26" s="916" t="s">
        <v>2870</v>
      </c>
      <c r="N26" s="916" t="s">
        <v>2871</v>
      </c>
      <c r="O26" s="916" t="s">
        <v>2872</v>
      </c>
      <c r="P26" s="2772" t="s">
        <v>2873</v>
      </c>
      <c r="R26" s="1372"/>
      <c r="S26" s="1372"/>
      <c r="T26" s="1367"/>
      <c r="U26" s="1367"/>
      <c r="V26" s="1367"/>
      <c r="W26" s="1366"/>
      <c r="X26" s="1366"/>
      <c r="Y26" s="1366"/>
      <c r="Z26" s="1373"/>
      <c r="AA26" s="1374"/>
      <c r="AB26" s="1374"/>
      <c r="AC26" s="1374"/>
      <c r="AD26" s="1374"/>
    </row>
    <row r="27" spans="1:37" ht="15.75" thickBot="1">
      <c r="A27" s="2815"/>
      <c r="B27" s="2819" t="s">
        <v>2909</v>
      </c>
      <c r="C27" s="927" t="e">
        <f>E30+SUM(I33:I39)</f>
        <v>#DIV/0!</v>
      </c>
      <c r="D27" s="2820"/>
      <c r="E27" s="2821"/>
      <c r="F27" s="2822"/>
      <c r="G27" s="2821"/>
      <c r="H27" s="2821"/>
      <c r="I27" s="2821"/>
      <c r="J27" s="2823"/>
      <c r="K27" s="1366"/>
      <c r="L27" s="2775" t="s">
        <v>2877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2910</v>
      </c>
      <c r="C28" s="2826" t="s">
        <v>2911</v>
      </c>
      <c r="D28" s="2826" t="s">
        <v>2912</v>
      </c>
      <c r="E28" s="2827" t="s">
        <v>2913</v>
      </c>
      <c r="F28" s="2828"/>
      <c r="G28" s="2755"/>
      <c r="H28" s="2755"/>
      <c r="I28" s="2755"/>
      <c r="J28" s="2756"/>
      <c r="K28" s="1366"/>
      <c r="L28" s="2776" t="s">
        <v>2880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2914</v>
      </c>
      <c r="C29" s="206" t="e">
        <f>ROUND(C5*C18*C19*C20*C21*C24,0)</f>
        <v>#DIV/0!</v>
      </c>
      <c r="D29" s="2831"/>
      <c r="E29" s="938" t="e">
        <f>ROUND(C29*D29/10000,0)</f>
        <v>#DIV/0!</v>
      </c>
      <c r="F29" s="2832" t="s">
        <v>2915</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2916</v>
      </c>
      <c r="C30" s="229" t="e">
        <f>ROUND(IF(E2="工业",C29*M39,C29*M38),0)</f>
        <v>#DIV/0!</v>
      </c>
      <c r="D30" s="2837"/>
      <c r="E30" s="938" t="e">
        <f>ROUND(C30*D30/10000,0)</f>
        <v>#DIV/0!</v>
      </c>
      <c r="F30" s="2838" t="s">
        <v>2917</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2918</v>
      </c>
      <c r="C31" s="2843" t="s">
        <v>2919</v>
      </c>
      <c r="D31" s="2755"/>
      <c r="E31" s="2843"/>
      <c r="F31" s="2843"/>
      <c r="G31" s="2753" t="s">
        <v>2920</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1" t="s">
        <v>2911</v>
      </c>
      <c r="D32" s="498" t="s">
        <v>2912</v>
      </c>
      <c r="E32" s="498" t="s">
        <v>2913</v>
      </c>
      <c r="F32" s="388" t="s">
        <v>2921</v>
      </c>
      <c r="G32" s="2846" t="s">
        <v>2911</v>
      </c>
      <c r="H32" s="2846" t="s">
        <v>2912</v>
      </c>
      <c r="I32" s="2846" t="s">
        <v>2913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337" t="s">
        <v>2922</v>
      </c>
      <c r="B33" s="2847" t="s">
        <v>2923</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8"/>
      <c r="B34" s="2759" t="s">
        <v>2924</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8"/>
      <c r="B35" s="2759" t="s">
        <v>2925</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66"/>
      <c r="L35" s="1366"/>
      <c r="M35" s="1366"/>
      <c r="N35" s="1366"/>
      <c r="O35" s="1366"/>
      <c r="P35" s="1366"/>
      <c r="Q35" s="1366"/>
      <c r="R35" s="1366"/>
      <c r="S35" s="1366"/>
      <c r="T35" s="1366"/>
      <c r="U35" s="1366"/>
      <c r="V35" s="1366"/>
      <c r="W35" s="1366"/>
      <c r="X35" s="1366"/>
      <c r="Y35" s="1366"/>
      <c r="Z35" s="1367"/>
    </row>
    <row r="36" spans="1:37" ht="13.5" thickBot="1">
      <c r="A36" s="3339"/>
      <c r="B36" s="2759" t="s">
        <v>2926</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66"/>
      <c r="L36" s="2713"/>
      <c r="M36" s="2713"/>
      <c r="N36" s="1366"/>
      <c r="O36" s="1366"/>
      <c r="P36" s="1366"/>
      <c r="Q36" s="1366"/>
      <c r="R36" s="1366"/>
      <c r="S36" s="1366"/>
      <c r="T36" s="1366"/>
      <c r="U36" s="1366"/>
      <c r="V36" s="1366"/>
      <c r="W36" s="1366"/>
      <c r="X36" s="1366"/>
      <c r="Y36" s="1366"/>
      <c r="Z36" s="1367"/>
    </row>
    <row r="37" spans="1:37">
      <c r="A37" s="2849"/>
      <c r="B37" s="2759" t="s">
        <v>2927</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66"/>
      <c r="L37" s="2850" t="s">
        <v>2928</v>
      </c>
      <c r="M37" s="2851"/>
      <c r="N37" s="1366"/>
      <c r="O37" s="1366"/>
      <c r="P37" s="1366"/>
      <c r="Q37" s="1366"/>
      <c r="R37" s="1366"/>
      <c r="S37" s="1366"/>
      <c r="T37" s="1366"/>
      <c r="U37" s="1366"/>
      <c r="V37" s="1366"/>
      <c r="W37" s="1366"/>
      <c r="X37" s="1366"/>
      <c r="Y37" s="1366"/>
      <c r="Z37" s="1367"/>
    </row>
    <row r="38" spans="1:37">
      <c r="A38" s="2849"/>
      <c r="B38" s="2759" t="s">
        <v>2929</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66"/>
      <c r="L38" s="1882" t="s">
        <v>2930</v>
      </c>
      <c r="M38" s="2852">
        <v>0.25</v>
      </c>
      <c r="N38" s="1366"/>
      <c r="O38" s="1366"/>
      <c r="P38" s="1366"/>
      <c r="Q38" s="1366"/>
      <c r="R38" s="1366"/>
      <c r="S38" s="1366"/>
      <c r="T38" s="1366"/>
      <c r="U38" s="1366"/>
      <c r="V38" s="1366"/>
      <c r="W38" s="1366"/>
      <c r="X38" s="1366"/>
      <c r="Y38" s="1366"/>
      <c r="Z38" s="1367"/>
    </row>
    <row r="39" spans="1:37" ht="13.5" thickBot="1">
      <c r="A39" s="2835"/>
      <c r="B39" s="2853" t="s">
        <v>2931</v>
      </c>
      <c r="C39" s="229" t="e">
        <f>ROUND(D5*C19*C41*C24*F39,0)</f>
        <v>#DIV/0!</v>
      </c>
      <c r="D39" s="2837"/>
      <c r="E39" s="229" t="e">
        <f t="shared" si="7"/>
        <v>#DIV/0!</v>
      </c>
      <c r="F39" s="928">
        <f>SUMIF(修正!A45:A56,G2,修正!H45:H56)</f>
        <v>0</v>
      </c>
      <c r="G39" s="229" t="e">
        <f>ROUND(IF(E2="工业",C39*$M$39,C39*$M$38),0)</f>
        <v>#DIV/0!</v>
      </c>
      <c r="H39" s="229">
        <f t="shared" si="8"/>
        <v>0</v>
      </c>
      <c r="I39" s="229" t="e">
        <f t="shared" si="9"/>
        <v>#DIV/0!</v>
      </c>
      <c r="J39" s="2854"/>
      <c r="K39" s="1366"/>
      <c r="L39" s="2855" t="s">
        <v>2873</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3040</v>
      </c>
      <c r="C41" s="388" t="e">
        <f>ROUND(POWER(1+E41,H41-G41)*(POWER(1+E41,G41)-1)/(POWER(1+E41,H41)-1),4)</f>
        <v>#DIV/0!</v>
      </c>
      <c r="D41" s="200" t="s">
        <v>2880</v>
      </c>
      <c r="E41" s="2923">
        <f>G20</f>
        <v>0</v>
      </c>
      <c r="F41" s="200" t="s">
        <v>2890</v>
      </c>
      <c r="G41" s="218"/>
      <c r="H41" s="200">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2932</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c r="A46" s="2860" t="s">
        <v>2933</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c r="A47" s="2864" t="s">
        <v>2934</v>
      </c>
      <c r="B47" s="1804" t="s">
        <v>2935</v>
      </c>
      <c r="C47" s="1804" t="s">
        <v>2936</v>
      </c>
      <c r="D47" s="1804" t="s">
        <v>2937</v>
      </c>
      <c r="E47" s="815" t="s">
        <v>2938</v>
      </c>
      <c r="F47" s="2865" t="s">
        <v>2939</v>
      </c>
      <c r="G47" s="1804" t="s">
        <v>754</v>
      </c>
      <c r="H47" s="2866" t="s">
        <v>2940</v>
      </c>
      <c r="I47" s="1804" t="s">
        <v>2941</v>
      </c>
      <c r="J47" s="603" t="s">
        <v>2588</v>
      </c>
      <c r="K47" s="603" t="s">
        <v>2589</v>
      </c>
      <c r="L47" s="603" t="s">
        <v>2590</v>
      </c>
      <c r="M47" s="603" t="s">
        <v>2591</v>
      </c>
      <c r="N47" s="603" t="s">
        <v>2592</v>
      </c>
      <c r="AA47" s="1367"/>
      <c r="AB47" s="1367"/>
      <c r="AC47" s="1367"/>
      <c r="AD47" s="1367"/>
      <c r="AE47" s="1367"/>
      <c r="AF47" s="1367"/>
      <c r="AG47" s="1367"/>
      <c r="AH47" s="1367"/>
      <c r="AI47" s="1367"/>
      <c r="AJ47" s="1367"/>
      <c r="AK47" s="1367"/>
    </row>
    <row r="48" spans="1:37" s="1366" customFormat="1" ht="38.25">
      <c r="A48" s="2864" t="s">
        <v>2942</v>
      </c>
      <c r="B48" s="2867" t="str">
        <f>估价对象房地状况!C4</f>
        <v>估价对象位于XX商圈，周边商业氛围成熟，人流量大，商业繁华度好</v>
      </c>
      <c r="C48" s="2764"/>
      <c r="D48" s="1282">
        <f t="shared" ref="D48:D56" si="10">SUMIF($J$47:$N$47,C48,J48:N48)</f>
        <v>0</v>
      </c>
      <c r="E48" s="817">
        <f>ROUND(SUM(D48:D56),4)</f>
        <v>0</v>
      </c>
      <c r="F48" s="2495"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4" t="s">
        <v>2943</v>
      </c>
      <c r="B49" s="2868" t="str">
        <f>估价对象房地状况!C18</f>
        <v>估价对象周边道路状况、公共交通通达情况、停车便捷程度，综合评价交通便捷度较好</v>
      </c>
      <c r="C49" s="2764"/>
      <c r="D49" s="1282">
        <f t="shared" si="10"/>
        <v>0</v>
      </c>
      <c r="E49" s="818"/>
      <c r="F49" s="2495"/>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4" t="s">
        <v>2944</v>
      </c>
      <c r="B50" s="2868">
        <f>估价对象房地状况!C19</f>
        <v>0</v>
      </c>
      <c r="C50" s="2764"/>
      <c r="D50" s="1282">
        <f t="shared" si="10"/>
        <v>0</v>
      </c>
      <c r="E50" s="818"/>
      <c r="F50" s="2495"/>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4" t="s">
        <v>2945</v>
      </c>
      <c r="B51" s="2869" t="s">
        <v>2946</v>
      </c>
      <c r="C51" s="2764"/>
      <c r="D51" s="1282">
        <f t="shared" si="10"/>
        <v>0</v>
      </c>
      <c r="E51" s="818"/>
      <c r="F51" s="2495"/>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4" t="s">
        <v>2947</v>
      </c>
      <c r="B52" s="2868">
        <f>估价对象房地状况!C24</f>
        <v>0</v>
      </c>
      <c r="C52" s="2764"/>
      <c r="D52" s="1282">
        <f t="shared" si="10"/>
        <v>0</v>
      </c>
      <c r="E52" s="818"/>
      <c r="F52" s="2495"/>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4" t="s">
        <v>2948</v>
      </c>
      <c r="B53" s="2870" t="s">
        <v>2949</v>
      </c>
      <c r="C53" s="2764"/>
      <c r="D53" s="1282">
        <f t="shared" si="10"/>
        <v>0</v>
      </c>
      <c r="E53" s="818"/>
      <c r="F53" s="2495"/>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1" t="s">
        <v>2950</v>
      </c>
      <c r="B54" s="1721" t="str">
        <f>估价对象房地状况!C21</f>
        <v>估价对象所在区域公共配套设施齐备情况</v>
      </c>
      <c r="C54" s="2764"/>
      <c r="D54" s="1282">
        <f t="shared" si="10"/>
        <v>0</v>
      </c>
      <c r="E54" s="818"/>
      <c r="F54" s="2495"/>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1" t="s">
        <v>2951</v>
      </c>
      <c r="B55" s="2868" t="str">
        <f>估价对象房地状况!C22</f>
        <v>估价对象所在区域基础设施水平</v>
      </c>
      <c r="C55" s="2764"/>
      <c r="D55" s="1282">
        <f t="shared" si="10"/>
        <v>0</v>
      </c>
      <c r="E55" s="818"/>
      <c r="F55" s="2495"/>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2" t="s">
        <v>2952</v>
      </c>
      <c r="B56" s="2873" t="str">
        <f>估价对象房地状况!C20</f>
        <v>区域自然环境：；人文环境；综合评价环境状况一般</v>
      </c>
      <c r="C56" s="2764"/>
      <c r="D56" s="1282">
        <f t="shared" si="10"/>
        <v>0</v>
      </c>
      <c r="E56" s="821"/>
      <c r="F56" s="2495"/>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0" t="s">
        <v>2953</v>
      </c>
      <c r="B57" s="2861">
        <f>1+E59</f>
        <v>1</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4" t="s">
        <v>2934</v>
      </c>
      <c r="B58" s="1804"/>
      <c r="C58" s="1804" t="s">
        <v>2936</v>
      </c>
      <c r="D58" s="1804" t="s">
        <v>2937</v>
      </c>
      <c r="E58" s="815" t="s">
        <v>2938</v>
      </c>
      <c r="F58" s="2865" t="s">
        <v>2954</v>
      </c>
      <c r="G58" s="1804" t="s">
        <v>754</v>
      </c>
      <c r="H58" s="2866" t="s">
        <v>2940</v>
      </c>
      <c r="I58" s="1804" t="s">
        <v>2941</v>
      </c>
      <c r="J58" s="603" t="s">
        <v>2588</v>
      </c>
      <c r="K58" s="603" t="s">
        <v>2589</v>
      </c>
      <c r="L58" s="603" t="s">
        <v>2590</v>
      </c>
      <c r="M58" s="603" t="s">
        <v>2591</v>
      </c>
      <c r="N58" s="603" t="s">
        <v>2592</v>
      </c>
      <c r="AA58" s="1367"/>
      <c r="AB58" s="1367"/>
      <c r="AC58" s="1367"/>
      <c r="AD58" s="1367"/>
      <c r="AE58" s="1367"/>
      <c r="AF58" s="1367"/>
      <c r="AG58" s="1367"/>
      <c r="AH58" s="1367"/>
      <c r="AI58" s="1367"/>
      <c r="AJ58" s="1367"/>
      <c r="AK58" s="1367"/>
    </row>
    <row r="59" spans="1:37" s="1366" customFormat="1" ht="38.25">
      <c r="A59" s="2864" t="s">
        <v>2955</v>
      </c>
      <c r="B59" s="2867" t="str">
        <f>估价对象房地状况!C17</f>
        <v>估价对象位于XX商圈，周边办公楼项目较多，入驻率高，办公集聚程度较好</v>
      </c>
      <c r="C59" s="2764"/>
      <c r="D59" s="1282">
        <f t="shared" ref="D59:D67" si="15">SUMIF($J$58:$N$58,C59,J59:N59)</f>
        <v>0</v>
      </c>
      <c r="E59" s="817">
        <f>ROUND(SUM(D59:D67),4)</f>
        <v>0</v>
      </c>
      <c r="F59" s="2495"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4" t="s">
        <v>2943</v>
      </c>
      <c r="B60" s="2868" t="str">
        <f>估价对象房地状况!C18</f>
        <v>估价对象周边道路状况、公共交通通达情况、停车便捷程度，综合评价交通便捷度较好</v>
      </c>
      <c r="C60" s="2764"/>
      <c r="D60" s="1282">
        <f t="shared" si="15"/>
        <v>0</v>
      </c>
      <c r="E60" s="818"/>
      <c r="F60" s="2495"/>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4" t="s">
        <v>2944</v>
      </c>
      <c r="B61" s="2868">
        <f>估价对象房地状况!C19</f>
        <v>0</v>
      </c>
      <c r="C61" s="2764"/>
      <c r="D61" s="1282">
        <f t="shared" si="15"/>
        <v>0</v>
      </c>
      <c r="E61" s="818"/>
      <c r="F61" s="2495"/>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4" t="s">
        <v>2945</v>
      </c>
      <c r="B62" s="2869" t="s">
        <v>2946</v>
      </c>
      <c r="C62" s="2764"/>
      <c r="D62" s="1282">
        <f t="shared" si="15"/>
        <v>0</v>
      </c>
      <c r="E62" s="818"/>
      <c r="F62" s="2495"/>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4" t="s">
        <v>2947</v>
      </c>
      <c r="B63" s="2868">
        <f>估价对象房地状况!C24</f>
        <v>0</v>
      </c>
      <c r="C63" s="2764"/>
      <c r="D63" s="1282">
        <f t="shared" si="15"/>
        <v>0</v>
      </c>
      <c r="E63" s="818"/>
      <c r="F63" s="2495"/>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4" t="s">
        <v>2948</v>
      </c>
      <c r="B64" s="2870" t="s">
        <v>2949</v>
      </c>
      <c r="C64" s="2764"/>
      <c r="D64" s="1282">
        <f t="shared" si="15"/>
        <v>0</v>
      </c>
      <c r="E64" s="818"/>
      <c r="F64" s="2495"/>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4" t="s">
        <v>2950</v>
      </c>
      <c r="B65" s="1721" t="str">
        <f>估价对象房地状况!C21</f>
        <v>估价对象所在区域公共配套设施齐备情况</v>
      </c>
      <c r="C65" s="2764"/>
      <c r="D65" s="1282">
        <f t="shared" si="15"/>
        <v>0</v>
      </c>
      <c r="E65" s="818"/>
      <c r="F65" s="2495"/>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4" t="s">
        <v>2951</v>
      </c>
      <c r="B66" s="1721" t="str">
        <f>估价对象房地状况!C22</f>
        <v>估价对象所在区域基础设施水平</v>
      </c>
      <c r="C66" s="2764"/>
      <c r="D66" s="1282">
        <f t="shared" si="15"/>
        <v>0</v>
      </c>
      <c r="E66" s="818"/>
      <c r="F66" s="2495"/>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2" t="s">
        <v>2952</v>
      </c>
      <c r="B67" s="2874" t="str">
        <f>估价对象房地状况!C20</f>
        <v>区域自然环境：；人文环境；综合评价环境状况一般</v>
      </c>
      <c r="C67" s="2764"/>
      <c r="D67" s="1282">
        <f t="shared" si="15"/>
        <v>0</v>
      </c>
      <c r="E67" s="821"/>
      <c r="F67" s="2495"/>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0" t="s">
        <v>2956</v>
      </c>
      <c r="B68" s="2861">
        <f>1+E70</f>
        <v>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2934</v>
      </c>
      <c r="B69" s="1804"/>
      <c r="C69" s="1804" t="s">
        <v>2936</v>
      </c>
      <c r="D69" s="1804" t="s">
        <v>2937</v>
      </c>
      <c r="E69" s="815" t="s">
        <v>2938</v>
      </c>
      <c r="F69" s="2865" t="s">
        <v>2954</v>
      </c>
      <c r="G69" s="1804" t="s">
        <v>754</v>
      </c>
      <c r="H69" s="2866" t="s">
        <v>2940</v>
      </c>
      <c r="I69" s="1804" t="s">
        <v>2941</v>
      </c>
      <c r="J69" s="603" t="s">
        <v>2588</v>
      </c>
      <c r="K69" s="603" t="s">
        <v>2589</v>
      </c>
      <c r="L69" s="603" t="s">
        <v>2590</v>
      </c>
      <c r="M69" s="603" t="s">
        <v>2591</v>
      </c>
      <c r="N69" s="603" t="s">
        <v>2592</v>
      </c>
      <c r="AA69" s="1367"/>
      <c r="AB69" s="1367"/>
      <c r="AC69" s="1367"/>
      <c r="AD69" s="1367"/>
      <c r="AE69" s="1367"/>
      <c r="AF69" s="1367"/>
      <c r="AG69" s="1367"/>
      <c r="AH69" s="1367"/>
      <c r="AI69" s="1367"/>
      <c r="AJ69" s="1367"/>
      <c r="AK69" s="1367"/>
    </row>
    <row r="70" spans="1:37" s="1366" customFormat="1" ht="51">
      <c r="A70" s="2864" t="s">
        <v>2957</v>
      </c>
      <c r="B70" s="2867" t="str">
        <f>估价对象房地状况!C15</f>
        <v>估价对象周边居住用地比例、居住小区规模和社区发展完善程度，综合评价居住社区成熟度一般</v>
      </c>
      <c r="C70" s="2764"/>
      <c r="D70" s="1282">
        <f t="shared" ref="D70:D78" si="20">SUMIF($J$69:$N$69,C70,J70:N70)</f>
        <v>0</v>
      </c>
      <c r="E70" s="817">
        <f>ROUND(SUM(D70:D78),4)</f>
        <v>0</v>
      </c>
      <c r="F70" s="2495"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4" t="s">
        <v>2943</v>
      </c>
      <c r="B71" s="2868" t="str">
        <f>估价对象房地状况!C18</f>
        <v>估价对象周边道路状况、公共交通通达情况、停车便捷程度，综合评价交通便捷度较好</v>
      </c>
      <c r="C71" s="2764"/>
      <c r="D71" s="1282">
        <f t="shared" si="20"/>
        <v>0</v>
      </c>
      <c r="E71" s="822"/>
      <c r="F71" s="2495"/>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4" t="s">
        <v>2944</v>
      </c>
      <c r="B72" s="2868">
        <f>估价对象房地状况!C19</f>
        <v>0</v>
      </c>
      <c r="C72" s="2764"/>
      <c r="D72" s="1282">
        <f t="shared" si="20"/>
        <v>0</v>
      </c>
      <c r="E72" s="822"/>
      <c r="F72" s="2495"/>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4" t="s">
        <v>2958</v>
      </c>
      <c r="B73" s="2868">
        <f>估价对象房地状况!C24</f>
        <v>0</v>
      </c>
      <c r="C73" s="2764"/>
      <c r="D73" s="1282">
        <f t="shared" si="20"/>
        <v>0</v>
      </c>
      <c r="E73" s="822"/>
      <c r="F73" s="2495"/>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4" t="s">
        <v>2950</v>
      </c>
      <c r="B74" s="1721" t="str">
        <f>估价对象房地状况!C21</f>
        <v>估价对象所在区域公共配套设施齐备情况</v>
      </c>
      <c r="C74" s="2764"/>
      <c r="D74" s="1282">
        <f t="shared" si="20"/>
        <v>0</v>
      </c>
      <c r="E74" s="822"/>
      <c r="F74" s="2495"/>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4" t="s">
        <v>2951</v>
      </c>
      <c r="B75" s="1721" t="str">
        <f>估价对象房地状况!C22</f>
        <v>估价对象所在区域基础设施水平</v>
      </c>
      <c r="C75" s="2764"/>
      <c r="D75" s="1282">
        <f t="shared" si="20"/>
        <v>0</v>
      </c>
      <c r="E75" s="822"/>
      <c r="F75" s="2495"/>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64" t="s">
        <v>2948</v>
      </c>
      <c r="B76" s="2870" t="s">
        <v>2949</v>
      </c>
      <c r="C76" s="2764"/>
      <c r="D76" s="1282">
        <f t="shared" si="20"/>
        <v>0</v>
      </c>
      <c r="E76" s="822"/>
      <c r="F76" s="2495"/>
      <c r="G76" s="1280"/>
      <c r="H76" s="1284" t="str">
        <f t="shared" si="21"/>
        <v>——</v>
      </c>
      <c r="I76" s="816">
        <v>0.05</v>
      </c>
      <c r="J76" s="1281">
        <f t="shared" si="22"/>
        <v>0</v>
      </c>
      <c r="K76" s="1281">
        <f t="shared" si="23"/>
        <v>0</v>
      </c>
      <c r="L76" s="1281">
        <v>0</v>
      </c>
      <c r="M76" s="1281">
        <f t="shared" si="24"/>
        <v>0</v>
      </c>
      <c r="N76" s="1281">
        <f t="shared" si="24"/>
        <v>0</v>
      </c>
      <c r="AA76" s="2875"/>
      <c r="AB76" s="1367"/>
      <c r="AC76" s="1367"/>
      <c r="AD76" s="1367"/>
      <c r="AE76" s="1367"/>
      <c r="AF76" s="1367"/>
      <c r="AG76" s="1367"/>
      <c r="AH76" s="2875"/>
      <c r="AI76" s="2875"/>
      <c r="AJ76" s="2875"/>
      <c r="AK76" s="2875"/>
    </row>
    <row r="77" spans="1:37" ht="38.25">
      <c r="A77" s="2864" t="s">
        <v>2952</v>
      </c>
      <c r="B77" s="2867" t="str">
        <f>估价对象房地状况!C20</f>
        <v>区域自然环境：；人文环境；综合评价环境状况一般</v>
      </c>
      <c r="C77" s="2764"/>
      <c r="D77" s="1282">
        <f t="shared" si="20"/>
        <v>0</v>
      </c>
      <c r="E77" s="822"/>
      <c r="F77" s="2495"/>
      <c r="G77" s="1280"/>
      <c r="H77" s="1284" t="str">
        <f t="shared" si="21"/>
        <v>——</v>
      </c>
      <c r="I77" s="816">
        <v>0.15</v>
      </c>
      <c r="J77" s="1281">
        <f t="shared" si="22"/>
        <v>0</v>
      </c>
      <c r="K77" s="1281">
        <f t="shared" si="23"/>
        <v>0</v>
      </c>
      <c r="L77" s="1281">
        <v>0</v>
      </c>
      <c r="M77" s="1281">
        <f t="shared" si="24"/>
        <v>0</v>
      </c>
      <c r="N77" s="1281">
        <f t="shared" si="24"/>
        <v>0</v>
      </c>
      <c r="Z77" s="2714"/>
      <c r="AA77" s="2782"/>
      <c r="AG77" s="1368"/>
      <c r="AK77" s="2782"/>
    </row>
    <row r="78" spans="1:37" ht="24.75" thickBot="1">
      <c r="A78" s="2872" t="s">
        <v>2959</v>
      </c>
      <c r="B78" s="2876"/>
      <c r="C78" s="2764"/>
      <c r="D78" s="1282">
        <f t="shared" si="20"/>
        <v>0</v>
      </c>
      <c r="E78" s="823"/>
      <c r="F78" s="2495"/>
      <c r="G78" s="1280"/>
      <c r="H78" s="1284" t="str">
        <f t="shared" si="21"/>
        <v>——</v>
      </c>
      <c r="I78" s="820">
        <v>0.04</v>
      </c>
      <c r="J78" s="1281">
        <f t="shared" si="22"/>
        <v>0</v>
      </c>
      <c r="K78" s="1281">
        <f t="shared" si="23"/>
        <v>0</v>
      </c>
      <c r="L78" s="1281">
        <v>0</v>
      </c>
      <c r="M78" s="1281">
        <f t="shared" si="24"/>
        <v>0</v>
      </c>
      <c r="N78" s="1281">
        <f t="shared" si="24"/>
        <v>0</v>
      </c>
      <c r="Z78" s="2714"/>
      <c r="AA78" s="2782"/>
      <c r="AG78" s="1368"/>
      <c r="AK78" s="2782"/>
    </row>
    <row r="79" spans="1:37" ht="15">
      <c r="A79" s="2860" t="s">
        <v>2960</v>
      </c>
      <c r="B79" s="2861">
        <f>1+E81</f>
        <v>1</v>
      </c>
      <c r="C79" s="810"/>
      <c r="D79" s="810"/>
      <c r="E79" s="811"/>
      <c r="F79" s="2863"/>
      <c r="G79" s="6"/>
      <c r="H79" s="6"/>
      <c r="I79" s="6"/>
      <c r="J79" s="7"/>
      <c r="K79" s="7"/>
      <c r="L79" s="7"/>
      <c r="M79" s="7"/>
      <c r="N79" s="7"/>
      <c r="Z79" s="2714"/>
      <c r="AA79" s="2782"/>
      <c r="AG79" s="1368"/>
      <c r="AK79" s="2782"/>
    </row>
    <row r="80" spans="1:37" ht="24.75">
      <c r="A80" s="2864" t="s">
        <v>2934</v>
      </c>
      <c r="B80" s="1804"/>
      <c r="C80" s="1804" t="s">
        <v>2936</v>
      </c>
      <c r="D80" s="1804" t="s">
        <v>2937</v>
      </c>
      <c r="E80" s="815" t="s">
        <v>2938</v>
      </c>
      <c r="F80" s="2865" t="s">
        <v>2954</v>
      </c>
      <c r="G80" s="1804" t="s">
        <v>754</v>
      </c>
      <c r="H80" s="2866" t="s">
        <v>2940</v>
      </c>
      <c r="I80" s="1804" t="s">
        <v>2941</v>
      </c>
      <c r="J80" s="603" t="s">
        <v>2588</v>
      </c>
      <c r="K80" s="603" t="s">
        <v>2589</v>
      </c>
      <c r="L80" s="603" t="s">
        <v>2590</v>
      </c>
      <c r="M80" s="603" t="s">
        <v>2591</v>
      </c>
      <c r="N80" s="603" t="s">
        <v>2592</v>
      </c>
      <c r="Z80" s="2714"/>
      <c r="AA80" s="2782"/>
      <c r="AG80" s="1368"/>
      <c r="AK80" s="2782"/>
    </row>
    <row r="81" spans="1:37" ht="38.25">
      <c r="A81" s="2864" t="s">
        <v>2961</v>
      </c>
      <c r="B81" s="2868" t="str">
        <f>估价对象房地状况!G15</f>
        <v>估价对象位于XX开发区，园区建设成熟度XX，产业集聚程度XX</v>
      </c>
      <c r="C81" s="2764"/>
      <c r="D81" s="1282">
        <f t="shared" ref="D81:D88" si="25">SUMIF($J$80:$N$80,C81,J81:N81)</f>
        <v>0</v>
      </c>
      <c r="E81" s="817">
        <f>ROUND(SUM(D81:D88),4)</f>
        <v>0</v>
      </c>
      <c r="F81" s="2495"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4"/>
      <c r="AA81" s="2782"/>
      <c r="AG81" s="1368"/>
      <c r="AK81" s="2782"/>
    </row>
    <row r="82" spans="1:37" ht="51">
      <c r="A82" s="2864" t="s">
        <v>2943</v>
      </c>
      <c r="B82" s="2868" t="str">
        <f>估价对象房地状况!G16</f>
        <v>估价对象周边道路状况、公共交通通达情况、停车便捷程度，综合评价交通便捷度较好</v>
      </c>
      <c r="C82" s="2764"/>
      <c r="D82" s="1282">
        <f t="shared" si="25"/>
        <v>0</v>
      </c>
      <c r="E82" s="822"/>
      <c r="F82" s="2495"/>
      <c r="G82" s="1280"/>
      <c r="H82" s="1284" t="str">
        <f t="shared" si="26"/>
        <v>——</v>
      </c>
      <c r="I82" s="816">
        <v>0.33</v>
      </c>
      <c r="J82" s="1281">
        <f t="shared" si="27"/>
        <v>0</v>
      </c>
      <c r="K82" s="1281">
        <f t="shared" si="28"/>
        <v>0</v>
      </c>
      <c r="L82" s="1281">
        <v>0</v>
      </c>
      <c r="M82" s="1281">
        <f t="shared" si="29"/>
        <v>0</v>
      </c>
      <c r="N82" s="1281">
        <f t="shared" si="29"/>
        <v>0</v>
      </c>
      <c r="Z82" s="2714"/>
      <c r="AA82" s="2782"/>
      <c r="AG82" s="1368"/>
      <c r="AK82" s="2782"/>
    </row>
    <row r="83" spans="1:37" ht="24">
      <c r="A83" s="2864" t="s">
        <v>2944</v>
      </c>
      <c r="B83" s="2868">
        <f>估价对象房地状况!G17</f>
        <v>0</v>
      </c>
      <c r="C83" s="2764"/>
      <c r="D83" s="1282">
        <f t="shared" si="25"/>
        <v>0</v>
      </c>
      <c r="E83" s="822"/>
      <c r="F83" s="2495"/>
      <c r="G83" s="1280"/>
      <c r="H83" s="1284" t="str">
        <f t="shared" si="26"/>
        <v>——</v>
      </c>
      <c r="I83" s="816">
        <v>0.05</v>
      </c>
      <c r="J83" s="1281">
        <f t="shared" si="27"/>
        <v>0</v>
      </c>
      <c r="K83" s="1281">
        <f t="shared" si="28"/>
        <v>0</v>
      </c>
      <c r="L83" s="1281">
        <v>0</v>
      </c>
      <c r="M83" s="1281">
        <f t="shared" si="29"/>
        <v>0</v>
      </c>
      <c r="N83" s="1281">
        <f t="shared" si="29"/>
        <v>0</v>
      </c>
      <c r="Z83" s="2714"/>
      <c r="AA83" s="2782"/>
      <c r="AG83" s="1368"/>
      <c r="AK83" s="2782"/>
    </row>
    <row r="84" spans="1:37" ht="14.25">
      <c r="A84" s="2864" t="s">
        <v>2958</v>
      </c>
      <c r="B84" s="2868">
        <f>估价对象房地状况!G22</f>
        <v>0</v>
      </c>
      <c r="C84" s="2764"/>
      <c r="D84" s="1282">
        <f t="shared" si="25"/>
        <v>0</v>
      </c>
      <c r="E84" s="822"/>
      <c r="F84" s="2495"/>
      <c r="G84" s="1280"/>
      <c r="H84" s="1284" t="str">
        <f t="shared" si="26"/>
        <v>——</v>
      </c>
      <c r="I84" s="816">
        <v>0.04</v>
      </c>
      <c r="J84" s="1281">
        <f t="shared" si="27"/>
        <v>0</v>
      </c>
      <c r="K84" s="1281">
        <f t="shared" si="28"/>
        <v>0</v>
      </c>
      <c r="L84" s="1281">
        <v>0</v>
      </c>
      <c r="M84" s="1281">
        <f t="shared" si="29"/>
        <v>0</v>
      </c>
      <c r="N84" s="1281">
        <f t="shared" si="29"/>
        <v>0</v>
      </c>
      <c r="Z84" s="2714"/>
      <c r="AA84" s="2782"/>
      <c r="AG84" s="1368"/>
      <c r="AK84" s="2782"/>
    </row>
    <row r="85" spans="1:37" ht="25.5">
      <c r="A85" s="2864" t="s">
        <v>2950</v>
      </c>
      <c r="B85" s="1721" t="str">
        <f>估价对象房地状况!G19</f>
        <v>估价对象所在区域公共配套设施齐备情况</v>
      </c>
      <c r="C85" s="2764"/>
      <c r="D85" s="1282">
        <f t="shared" si="25"/>
        <v>0</v>
      </c>
      <c r="E85" s="822"/>
      <c r="F85" s="2495"/>
      <c r="G85" s="1280"/>
      <c r="H85" s="1284" t="str">
        <f t="shared" si="26"/>
        <v>——</v>
      </c>
      <c r="I85" s="816">
        <v>0.06</v>
      </c>
      <c r="J85" s="1281">
        <f t="shared" si="27"/>
        <v>0</v>
      </c>
      <c r="K85" s="1281">
        <f t="shared" si="28"/>
        <v>0</v>
      </c>
      <c r="L85" s="1281">
        <v>0</v>
      </c>
      <c r="M85" s="1281">
        <f t="shared" si="29"/>
        <v>0</v>
      </c>
      <c r="N85" s="1281">
        <f t="shared" si="29"/>
        <v>0</v>
      </c>
      <c r="Z85" s="2714"/>
      <c r="AA85" s="2782"/>
      <c r="AG85" s="1368"/>
      <c r="AK85" s="2782"/>
    </row>
    <row r="86" spans="1:37" ht="25.5">
      <c r="A86" s="2864" t="s">
        <v>2951</v>
      </c>
      <c r="B86" s="1721" t="str">
        <f>估价对象房地状况!G20</f>
        <v>估价对象所在区域基础设施水平</v>
      </c>
      <c r="C86" s="2764"/>
      <c r="D86" s="1282">
        <f t="shared" si="25"/>
        <v>0</v>
      </c>
      <c r="E86" s="822"/>
      <c r="F86" s="2495"/>
      <c r="G86" s="1280"/>
      <c r="H86" s="1284" t="str">
        <f t="shared" si="26"/>
        <v>——</v>
      </c>
      <c r="I86" s="816">
        <v>0.15</v>
      </c>
      <c r="J86" s="1281">
        <f t="shared" si="27"/>
        <v>0</v>
      </c>
      <c r="K86" s="1281">
        <f t="shared" si="28"/>
        <v>0</v>
      </c>
      <c r="L86" s="1281">
        <v>0</v>
      </c>
      <c r="M86" s="1281">
        <f t="shared" si="29"/>
        <v>0</v>
      </c>
      <c r="N86" s="1281">
        <f t="shared" si="29"/>
        <v>0</v>
      </c>
      <c r="Z86" s="2714"/>
      <c r="AA86" s="2782"/>
      <c r="AG86" s="1368"/>
      <c r="AK86" s="2782"/>
    </row>
    <row r="87" spans="1:37" ht="24">
      <c r="A87" s="2864" t="s">
        <v>2948</v>
      </c>
      <c r="B87" s="2870" t="s">
        <v>2962</v>
      </c>
      <c r="C87" s="2764"/>
      <c r="D87" s="1282">
        <f t="shared" si="25"/>
        <v>0</v>
      </c>
      <c r="E87" s="822"/>
      <c r="F87" s="2495"/>
      <c r="G87" s="1280"/>
      <c r="H87" s="1284" t="str">
        <f t="shared" si="26"/>
        <v>——</v>
      </c>
      <c r="I87" s="816">
        <v>0.05</v>
      </c>
      <c r="J87" s="1281">
        <f t="shared" si="27"/>
        <v>0</v>
      </c>
      <c r="K87" s="1281">
        <f t="shared" si="28"/>
        <v>0</v>
      </c>
      <c r="L87" s="1281">
        <v>0</v>
      </c>
      <c r="M87" s="1281">
        <f t="shared" si="29"/>
        <v>0</v>
      </c>
      <c r="N87" s="1281">
        <f t="shared" si="29"/>
        <v>0</v>
      </c>
      <c r="Z87" s="2714"/>
      <c r="AA87" s="2782"/>
      <c r="AG87" s="1368"/>
      <c r="AK87" s="2782"/>
    </row>
    <row r="88" spans="1:37" ht="39" thickBot="1">
      <c r="A88" s="2872" t="s">
        <v>2963</v>
      </c>
      <c r="B88" s="2877" t="str">
        <f>估价对象房地状况!G18</f>
        <v>该园区内是否有污染型企业，绿化情况，卫生条件，整体环境状况判断</v>
      </c>
      <c r="C88" s="2764"/>
      <c r="D88" s="1282">
        <f t="shared" si="25"/>
        <v>0</v>
      </c>
      <c r="E88" s="823"/>
      <c r="F88" s="2495"/>
      <c r="G88" s="1280"/>
      <c r="H88" s="1284" t="str">
        <f t="shared" si="26"/>
        <v>——</v>
      </c>
      <c r="I88" s="820">
        <v>0.06</v>
      </c>
      <c r="J88" s="1281">
        <f t="shared" si="27"/>
        <v>0</v>
      </c>
      <c r="K88" s="1281">
        <f t="shared" si="28"/>
        <v>0</v>
      </c>
      <c r="L88" s="1281">
        <v>0</v>
      </c>
      <c r="M88" s="1281">
        <f t="shared" si="29"/>
        <v>0</v>
      </c>
      <c r="N88" s="1281">
        <f t="shared" si="29"/>
        <v>0</v>
      </c>
      <c r="Z88" s="2714"/>
      <c r="AA88" s="2782"/>
      <c r="AG88" s="1368"/>
      <c r="AK88" s="2782"/>
    </row>
    <row r="90" spans="1:37">
      <c r="A90" s="3331" t="s">
        <v>2964</v>
      </c>
      <c r="B90" s="3331"/>
      <c r="C90" s="3331"/>
      <c r="D90" s="3331"/>
      <c r="E90" s="3331"/>
      <c r="F90" s="3331"/>
      <c r="G90" s="3331"/>
      <c r="H90" s="3331"/>
      <c r="I90" s="3331"/>
      <c r="J90" s="3331"/>
      <c r="K90" s="2878"/>
      <c r="L90" s="2878"/>
      <c r="M90" s="2878"/>
      <c r="N90" s="2878"/>
    </row>
    <row r="91" spans="1:37">
      <c r="A91" s="3333" t="s">
        <v>2965</v>
      </c>
      <c r="B91" s="3333" t="s">
        <v>2966</v>
      </c>
      <c r="C91" s="2832" t="s">
        <v>2967</v>
      </c>
      <c r="D91" s="2833"/>
      <c r="E91" s="2833"/>
      <c r="F91" s="2833"/>
      <c r="G91" s="2833"/>
      <c r="H91" s="2833"/>
      <c r="I91" s="2833"/>
      <c r="J91" s="2879"/>
      <c r="K91" s="2880"/>
      <c r="L91" s="2880"/>
      <c r="M91" s="2880"/>
      <c r="N91" s="2880"/>
    </row>
    <row r="92" spans="1:37">
      <c r="A92" s="3333"/>
      <c r="B92" s="3333"/>
      <c r="C92" s="938" t="s">
        <v>2832</v>
      </c>
      <c r="D92" s="938" t="s">
        <v>2833</v>
      </c>
      <c r="E92" s="938" t="s">
        <v>2834</v>
      </c>
      <c r="F92" s="938" t="s">
        <v>2835</v>
      </c>
      <c r="G92" s="938" t="s">
        <v>2836</v>
      </c>
      <c r="H92" s="938" t="s">
        <v>2837</v>
      </c>
      <c r="I92" s="938" t="s">
        <v>2838</v>
      </c>
      <c r="J92" s="938" t="s">
        <v>2839</v>
      </c>
      <c r="K92" s="938" t="s">
        <v>2840</v>
      </c>
      <c r="L92" s="938" t="s">
        <v>2841</v>
      </c>
      <c r="M92" s="938" t="s">
        <v>2842</v>
      </c>
      <c r="N92" s="938" t="s">
        <v>2843</v>
      </c>
    </row>
    <row r="93" spans="1:37">
      <c r="A93" s="3334" t="s">
        <v>2968</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35"/>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35"/>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35"/>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35"/>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35"/>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35"/>
      <c r="B99" s="2881" t="s">
        <v>2848</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36"/>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34" t="s">
        <v>2969</v>
      </c>
      <c r="B101" s="2885" t="s">
        <v>2970</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335"/>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335"/>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335"/>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335"/>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335"/>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335"/>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335"/>
      <c r="B108" s="3196" t="s">
        <v>2971</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36"/>
      <c r="B109" s="3197"/>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332" t="s">
        <v>2972</v>
      </c>
      <c r="B110" s="3332"/>
      <c r="C110" s="3332"/>
      <c r="D110" s="3332"/>
      <c r="E110" s="3332"/>
      <c r="F110" s="3332"/>
      <c r="G110" s="3332"/>
      <c r="H110" s="3332"/>
      <c r="I110" s="3332"/>
      <c r="J110" s="3332"/>
      <c r="K110" s="2887"/>
      <c r="L110" s="2887"/>
      <c r="M110" s="2887"/>
      <c r="N110" s="2887"/>
    </row>
    <row r="112" spans="1:14" ht="13.5" thickBot="1"/>
    <row r="113" spans="1:13" ht="25.5" thickBot="1">
      <c r="A113" s="899" t="s">
        <v>2973</v>
      </c>
      <c r="B113" s="1283" t="e">
        <f>G3</f>
        <v>#DIV/0!</v>
      </c>
      <c r="C113" s="900" t="s">
        <v>2974</v>
      </c>
      <c r="D113" s="901" t="e">
        <f>SUMPRODUCT((A115:A118=F113)*(B114:M114=H113)*B115:M118)</f>
        <v>#DIV/0!</v>
      </c>
      <c r="E113" s="2718" t="s">
        <v>2805</v>
      </c>
      <c r="F113" s="2889">
        <f>E2</f>
        <v>0</v>
      </c>
      <c r="G113" s="2718" t="s">
        <v>2806</v>
      </c>
      <c r="H113" s="2889">
        <f>G2</f>
        <v>0</v>
      </c>
      <c r="I113" s="2718"/>
      <c r="J113" s="2890"/>
      <c r="K113" s="2890"/>
      <c r="L113" s="2890"/>
      <c r="M113" s="2890"/>
    </row>
    <row r="114" spans="1:13">
      <c r="A114" s="904"/>
      <c r="B114" s="2891" t="s">
        <v>2975</v>
      </c>
      <c r="C114" s="2891" t="s">
        <v>2976</v>
      </c>
      <c r="D114" s="2891" t="s">
        <v>2977</v>
      </c>
      <c r="E114" s="2892" t="s">
        <v>2978</v>
      </c>
      <c r="F114" s="2892" t="s">
        <v>2979</v>
      </c>
      <c r="G114" s="2892" t="s">
        <v>2980</v>
      </c>
      <c r="H114" s="2893" t="s">
        <v>2981</v>
      </c>
      <c r="I114" s="2893" t="s">
        <v>2982</v>
      </c>
      <c r="J114" s="2894" t="s">
        <v>2983</v>
      </c>
      <c r="K114" s="2894" t="s">
        <v>2984</v>
      </c>
      <c r="L114" s="2894" t="s">
        <v>2985</v>
      </c>
      <c r="M114" s="2895" t="s">
        <v>2986</v>
      </c>
    </row>
    <row r="115" spans="1:13">
      <c r="A115" s="905" t="s">
        <v>2870</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2871</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2872</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2873</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3044</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2" t="s">
        <v>183</v>
      </c>
      <c r="B18" s="878" t="s">
        <v>560</v>
      </c>
      <c r="C18" s="879" t="s">
        <v>561</v>
      </c>
      <c r="D18" s="880"/>
      <c r="E18" s="878">
        <v>1</v>
      </c>
      <c r="F18" s="881" t="s">
        <v>562</v>
      </c>
      <c r="G18" s="882"/>
      <c r="H18" s="874"/>
      <c r="I18" s="874"/>
    </row>
    <row r="19" spans="1:9" s="883" customFormat="1" ht="19.5" customHeight="1">
      <c r="A19" s="3342"/>
      <c r="B19" s="3342" t="s">
        <v>563</v>
      </c>
      <c r="C19" s="879" t="s">
        <v>564</v>
      </c>
      <c r="D19" s="880"/>
      <c r="E19" s="878">
        <v>0.9</v>
      </c>
      <c r="F19" s="881" t="s">
        <v>565</v>
      </c>
      <c r="G19" s="882"/>
      <c r="H19" s="874"/>
      <c r="I19" s="874"/>
    </row>
    <row r="20" spans="1:9" s="883" customFormat="1" ht="19.5" customHeight="1">
      <c r="A20" s="3342"/>
      <c r="B20" s="3342"/>
      <c r="C20" s="879" t="s">
        <v>566</v>
      </c>
      <c r="D20" s="880"/>
      <c r="E20" s="878">
        <v>1.1000000000000001</v>
      </c>
      <c r="F20" s="881" t="s">
        <v>567</v>
      </c>
      <c r="G20" s="882"/>
      <c r="H20" s="874"/>
      <c r="I20" s="874"/>
    </row>
    <row r="21" spans="1:9" s="883" customFormat="1" ht="19.5" customHeight="1">
      <c r="A21" s="3342"/>
      <c r="B21" s="3342"/>
      <c r="C21" s="879" t="s">
        <v>568</v>
      </c>
      <c r="D21" s="880"/>
      <c r="E21" s="878">
        <v>0.8</v>
      </c>
      <c r="F21" s="881" t="s">
        <v>569</v>
      </c>
      <c r="G21" s="882"/>
      <c r="H21" s="874"/>
      <c r="I21" s="874"/>
    </row>
    <row r="22" spans="1:9" s="883" customFormat="1" ht="19.5" customHeight="1">
      <c r="A22" s="3342"/>
      <c r="B22" s="3342"/>
      <c r="C22" s="879" t="s">
        <v>570</v>
      </c>
      <c r="D22" s="880"/>
      <c r="E22" s="878">
        <v>0.5</v>
      </c>
      <c r="F22" s="881"/>
      <c r="G22" s="882"/>
      <c r="H22" s="874"/>
      <c r="I22" s="874"/>
    </row>
    <row r="23" spans="1:9" s="883" customFormat="1" ht="19.5" customHeight="1">
      <c r="A23" s="3342" t="s">
        <v>184</v>
      </c>
      <c r="B23" s="878" t="s">
        <v>560</v>
      </c>
      <c r="C23" s="879" t="s">
        <v>571</v>
      </c>
      <c r="D23" s="880"/>
      <c r="E23" s="878">
        <v>1</v>
      </c>
      <c r="F23" s="881" t="s">
        <v>572</v>
      </c>
      <c r="G23" s="882"/>
      <c r="H23" s="874"/>
      <c r="I23" s="874"/>
    </row>
    <row r="24" spans="1:9" s="883" customFormat="1" ht="19.5" customHeight="1">
      <c r="A24" s="3342"/>
      <c r="B24" s="3342" t="s">
        <v>563</v>
      </c>
      <c r="C24" s="879" t="s">
        <v>573</v>
      </c>
      <c r="D24" s="880"/>
      <c r="E24" s="878">
        <v>0.5</v>
      </c>
      <c r="F24" s="881"/>
      <c r="G24" s="882"/>
      <c r="H24" s="874"/>
      <c r="I24" s="874"/>
    </row>
    <row r="25" spans="1:9" s="883" customFormat="1" ht="19.5" customHeight="1">
      <c r="A25" s="3342"/>
      <c r="B25" s="3342"/>
      <c r="C25" s="879" t="s">
        <v>574</v>
      </c>
      <c r="D25" s="880"/>
      <c r="E25" s="878">
        <v>1.1000000000000001</v>
      </c>
      <c r="F25" s="881"/>
      <c r="G25" s="882"/>
      <c r="H25" s="874"/>
      <c r="I25" s="874"/>
    </row>
    <row r="26" spans="1:9" s="883" customFormat="1" ht="19.5" customHeight="1">
      <c r="A26" s="3342"/>
      <c r="B26" s="3342"/>
      <c r="C26" s="879" t="s">
        <v>575</v>
      </c>
      <c r="D26" s="880"/>
      <c r="E26" s="878">
        <v>1.1000000000000001</v>
      </c>
      <c r="F26" s="881"/>
      <c r="G26" s="882"/>
      <c r="H26" s="874"/>
      <c r="I26" s="874"/>
    </row>
    <row r="27" spans="1:9" s="883" customFormat="1" ht="19.5" customHeight="1">
      <c r="A27" s="3342"/>
      <c r="B27" s="3342"/>
      <c r="C27" s="879" t="s">
        <v>576</v>
      </c>
      <c r="D27" s="880"/>
      <c r="E27" s="878">
        <v>0.9</v>
      </c>
      <c r="F27" s="881" t="s">
        <v>577</v>
      </c>
      <c r="G27" s="882"/>
      <c r="H27" s="874"/>
      <c r="I27" s="874"/>
    </row>
    <row r="28" spans="1:9" s="883" customFormat="1" ht="19.5" customHeight="1">
      <c r="A28" s="3342"/>
      <c r="B28" s="3342"/>
      <c r="C28" s="879" t="s">
        <v>578</v>
      </c>
      <c r="D28" s="880"/>
      <c r="E28" s="878">
        <v>0.9</v>
      </c>
      <c r="F28" s="881" t="s">
        <v>579</v>
      </c>
      <c r="G28" s="882"/>
      <c r="H28" s="874"/>
      <c r="I28" s="874"/>
    </row>
    <row r="29" spans="1:9" s="883" customFormat="1" ht="19.5" customHeight="1">
      <c r="A29" s="3342"/>
      <c r="B29" s="3342"/>
      <c r="C29" s="879" t="s">
        <v>580</v>
      </c>
      <c r="D29" s="880"/>
      <c r="E29" s="878">
        <v>0.9</v>
      </c>
      <c r="F29" s="881" t="s">
        <v>581</v>
      </c>
      <c r="G29" s="882"/>
      <c r="H29" s="874"/>
      <c r="I29" s="874"/>
    </row>
    <row r="30" spans="1:9" s="883" customFormat="1" ht="19.5" customHeight="1">
      <c r="A30" s="3342"/>
      <c r="B30" s="3342"/>
      <c r="C30" s="879" t="s">
        <v>582</v>
      </c>
      <c r="D30" s="880"/>
      <c r="E30" s="878">
        <v>0.9</v>
      </c>
      <c r="F30" s="881" t="s">
        <v>583</v>
      </c>
      <c r="G30" s="882"/>
      <c r="H30" s="874"/>
      <c r="I30" s="874"/>
    </row>
    <row r="31" spans="1:9" s="883" customFormat="1" ht="19.5" customHeight="1">
      <c r="A31" s="3342"/>
      <c r="B31" s="3342"/>
      <c r="C31" s="879" t="s">
        <v>584</v>
      </c>
      <c r="D31" s="880"/>
      <c r="E31" s="878">
        <v>0.8</v>
      </c>
      <c r="F31" s="881" t="s">
        <v>585</v>
      </c>
      <c r="G31" s="882"/>
      <c r="H31" s="874"/>
      <c r="I31" s="874"/>
    </row>
    <row r="32" spans="1:9" s="883" customFormat="1" ht="19.5" customHeight="1">
      <c r="A32" s="3342"/>
      <c r="B32" s="3342"/>
      <c r="C32" s="879" t="s">
        <v>586</v>
      </c>
      <c r="D32" s="880"/>
      <c r="E32" s="878">
        <v>0.8</v>
      </c>
      <c r="F32" s="881" t="s">
        <v>587</v>
      </c>
      <c r="G32" s="882"/>
      <c r="H32" s="874"/>
      <c r="I32" s="874"/>
    </row>
    <row r="33" spans="1:9" s="883" customFormat="1" ht="19.5" customHeight="1">
      <c r="A33" s="3342" t="s">
        <v>185</v>
      </c>
      <c r="B33" s="878" t="s">
        <v>560</v>
      </c>
      <c r="C33" s="879" t="s">
        <v>588</v>
      </c>
      <c r="D33" s="880"/>
      <c r="E33" s="878">
        <v>1</v>
      </c>
      <c r="F33" s="881" t="s">
        <v>589</v>
      </c>
      <c r="G33" s="882"/>
      <c r="H33" s="874"/>
      <c r="I33" s="874"/>
    </row>
    <row r="34" spans="1:9" s="883" customFormat="1" ht="19.5" customHeight="1">
      <c r="A34" s="3342"/>
      <c r="B34" s="878" t="s">
        <v>563</v>
      </c>
      <c r="C34" s="879" t="s">
        <v>590</v>
      </c>
      <c r="D34" s="880"/>
      <c r="E34" s="878">
        <v>1.5</v>
      </c>
      <c r="F34" s="881" t="s">
        <v>591</v>
      </c>
      <c r="G34" s="882"/>
      <c r="H34" s="874"/>
      <c r="I34" s="874"/>
    </row>
    <row r="35" spans="1:9" s="883" customFormat="1" ht="19.5" customHeight="1">
      <c r="A35" s="3342" t="s">
        <v>186</v>
      </c>
      <c r="B35" s="878" t="s">
        <v>560</v>
      </c>
      <c r="C35" s="879" t="s">
        <v>592</v>
      </c>
      <c r="D35" s="880"/>
      <c r="E35" s="878">
        <v>1</v>
      </c>
      <c r="F35" s="881" t="s">
        <v>593</v>
      </c>
      <c r="G35" s="882"/>
      <c r="H35" s="874"/>
      <c r="I35" s="874"/>
    </row>
    <row r="36" spans="1:9" s="883" customFormat="1" ht="19.5" customHeight="1">
      <c r="A36" s="3342"/>
      <c r="B36" s="3342" t="s">
        <v>563</v>
      </c>
      <c r="C36" s="879" t="s">
        <v>594</v>
      </c>
      <c r="D36" s="880"/>
      <c r="E36" s="878">
        <v>1</v>
      </c>
      <c r="F36" s="881" t="s">
        <v>595</v>
      </c>
      <c r="G36" s="882"/>
      <c r="H36" s="874"/>
      <c r="I36" s="874"/>
    </row>
    <row r="37" spans="1:9" s="883" customFormat="1" ht="19.5" customHeight="1">
      <c r="A37" s="3342"/>
      <c r="B37" s="3342"/>
      <c r="C37" s="879" t="s">
        <v>596</v>
      </c>
      <c r="D37" s="880"/>
      <c r="E37" s="878">
        <v>1.5</v>
      </c>
      <c r="F37" s="881" t="s">
        <v>597</v>
      </c>
      <c r="G37" s="882"/>
      <c r="H37" s="874"/>
      <c r="I37" s="874"/>
    </row>
    <row r="38" spans="1:9" s="883" customFormat="1" ht="19.5" customHeight="1">
      <c r="A38" s="3342"/>
      <c r="B38" s="3342"/>
      <c r="C38" s="879" t="s">
        <v>598</v>
      </c>
      <c r="D38" s="880"/>
      <c r="E38" s="878">
        <v>1</v>
      </c>
      <c r="F38" s="881" t="s">
        <v>599</v>
      </c>
      <c r="G38" s="882"/>
      <c r="H38" s="874"/>
      <c r="I38" s="874"/>
    </row>
    <row r="39" spans="1:9" s="883" customFormat="1" ht="19.5" customHeight="1">
      <c r="A39" s="3342"/>
      <c r="B39" s="334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2" t="s">
        <v>614</v>
      </c>
      <c r="C61" s="814" t="s">
        <v>615</v>
      </c>
      <c r="D61" s="814" t="s">
        <v>616</v>
      </c>
      <c r="E61" s="891">
        <v>0.5</v>
      </c>
      <c r="F61" s="878">
        <v>80</v>
      </c>
    </row>
    <row r="62" spans="1:8" s="874" customFormat="1" ht="24">
      <c r="A62" s="878">
        <v>2</v>
      </c>
      <c r="B62" s="3342"/>
      <c r="C62" s="814" t="s">
        <v>617</v>
      </c>
      <c r="D62" s="814" t="s">
        <v>618</v>
      </c>
      <c r="E62" s="891">
        <v>0.5</v>
      </c>
      <c r="F62" s="878">
        <v>80</v>
      </c>
    </row>
    <row r="63" spans="1:8" s="874" customFormat="1" ht="36">
      <c r="A63" s="878">
        <v>3</v>
      </c>
      <c r="B63" s="3342"/>
      <c r="C63" s="814" t="s">
        <v>619</v>
      </c>
      <c r="D63" s="814" t="s">
        <v>620</v>
      </c>
      <c r="E63" s="891">
        <v>0.5</v>
      </c>
      <c r="F63" s="878">
        <v>80</v>
      </c>
    </row>
    <row r="64" spans="1:8" s="874" customFormat="1" ht="36">
      <c r="A64" s="878">
        <v>4</v>
      </c>
      <c r="B64" s="3342"/>
      <c r="C64" s="814" t="s">
        <v>621</v>
      </c>
      <c r="D64" s="814" t="s">
        <v>622</v>
      </c>
      <c r="E64" s="891">
        <v>0.4</v>
      </c>
      <c r="F64" s="878">
        <v>60</v>
      </c>
    </row>
    <row r="65" spans="1:6" s="874" customFormat="1" ht="36">
      <c r="A65" s="878">
        <v>5</v>
      </c>
      <c r="B65" s="3342"/>
      <c r="C65" s="814" t="s">
        <v>623</v>
      </c>
      <c r="D65" s="814" t="s">
        <v>624</v>
      </c>
      <c r="E65" s="891">
        <v>0.2</v>
      </c>
      <c r="F65" s="878">
        <v>30</v>
      </c>
    </row>
    <row r="66" spans="1:6" s="874" customFormat="1" ht="36">
      <c r="A66" s="878">
        <v>6</v>
      </c>
      <c r="B66" s="3342"/>
      <c r="C66" s="814" t="s">
        <v>625</v>
      </c>
      <c r="D66" s="814" t="s">
        <v>626</v>
      </c>
      <c r="E66" s="891">
        <v>0.3</v>
      </c>
      <c r="F66" s="878">
        <v>50</v>
      </c>
    </row>
    <row r="67" spans="1:6" s="874" customFormat="1" ht="36">
      <c r="A67" s="878">
        <v>7</v>
      </c>
      <c r="B67" s="3342"/>
      <c r="C67" s="814" t="s">
        <v>627</v>
      </c>
      <c r="D67" s="814" t="s">
        <v>628</v>
      </c>
      <c r="E67" s="891">
        <v>0.2</v>
      </c>
      <c r="F67" s="878">
        <v>30</v>
      </c>
    </row>
    <row r="68" spans="1:6" s="874" customFormat="1" ht="36">
      <c r="A68" s="878">
        <v>8</v>
      </c>
      <c r="B68" s="3342"/>
      <c r="C68" s="814" t="s">
        <v>629</v>
      </c>
      <c r="D68" s="814" t="s">
        <v>630</v>
      </c>
      <c r="E68" s="891">
        <v>0.2</v>
      </c>
      <c r="F68" s="878">
        <v>30</v>
      </c>
    </row>
    <row r="69" spans="1:6" s="874" customFormat="1" ht="36">
      <c r="A69" s="878">
        <v>9</v>
      </c>
      <c r="B69" s="3342"/>
      <c r="C69" s="814" t="s">
        <v>631</v>
      </c>
      <c r="D69" s="814" t="s">
        <v>632</v>
      </c>
      <c r="E69" s="891">
        <v>0.2</v>
      </c>
      <c r="F69" s="878">
        <v>30</v>
      </c>
    </row>
    <row r="70" spans="1:6" s="874" customFormat="1" ht="48">
      <c r="A70" s="878">
        <v>10</v>
      </c>
      <c r="B70" s="3342"/>
      <c r="C70" s="814" t="s">
        <v>633</v>
      </c>
      <c r="D70" s="814" t="s">
        <v>634</v>
      </c>
      <c r="E70" s="891">
        <v>0.2</v>
      </c>
      <c r="F70" s="878">
        <v>30</v>
      </c>
    </row>
    <row r="71" spans="1:6" s="874" customFormat="1" ht="48">
      <c r="A71" s="878">
        <v>11</v>
      </c>
      <c r="B71" s="3342"/>
      <c r="C71" s="814" t="s">
        <v>635</v>
      </c>
      <c r="D71" s="814" t="s">
        <v>636</v>
      </c>
      <c r="E71" s="891">
        <v>0.2</v>
      </c>
      <c r="F71" s="878">
        <v>30</v>
      </c>
    </row>
    <row r="72" spans="1:6" s="874" customFormat="1" ht="36">
      <c r="A72" s="878">
        <v>12</v>
      </c>
      <c r="B72" s="3342"/>
      <c r="C72" s="814" t="s">
        <v>637</v>
      </c>
      <c r="D72" s="814" t="s">
        <v>638</v>
      </c>
      <c r="E72" s="891">
        <v>0.5</v>
      </c>
      <c r="F72" s="878">
        <v>80</v>
      </c>
    </row>
    <row r="73" spans="1:6" s="874" customFormat="1" ht="24">
      <c r="A73" s="878">
        <v>13</v>
      </c>
      <c r="B73" s="3342"/>
      <c r="C73" s="814" t="s">
        <v>639</v>
      </c>
      <c r="D73" s="814" t="s">
        <v>640</v>
      </c>
      <c r="E73" s="891">
        <v>0.4</v>
      </c>
      <c r="F73" s="878">
        <v>60</v>
      </c>
    </row>
    <row r="74" spans="1:6" s="874" customFormat="1" ht="24">
      <c r="A74" s="878">
        <v>14</v>
      </c>
      <c r="B74" s="3342"/>
      <c r="C74" s="814" t="s">
        <v>641</v>
      </c>
      <c r="D74" s="814" t="s">
        <v>642</v>
      </c>
      <c r="E74" s="891">
        <v>0.2</v>
      </c>
      <c r="F74" s="878">
        <v>30</v>
      </c>
    </row>
    <row r="75" spans="1:6" s="874" customFormat="1" ht="24">
      <c r="A75" s="878">
        <v>15</v>
      </c>
      <c r="B75" s="3342"/>
      <c r="C75" s="814" t="s">
        <v>643</v>
      </c>
      <c r="D75" s="814" t="s">
        <v>644</v>
      </c>
      <c r="E75" s="891">
        <v>0.2</v>
      </c>
      <c r="F75" s="878">
        <v>30</v>
      </c>
    </row>
    <row r="76" spans="1:6" s="874" customFormat="1" ht="24">
      <c r="A76" s="878">
        <v>16</v>
      </c>
      <c r="B76" s="3342" t="s">
        <v>645</v>
      </c>
      <c r="C76" s="814" t="s">
        <v>646</v>
      </c>
      <c r="D76" s="814" t="s">
        <v>647</v>
      </c>
      <c r="E76" s="891">
        <v>0.5</v>
      </c>
      <c r="F76" s="878">
        <v>80</v>
      </c>
    </row>
    <row r="77" spans="1:6" s="874" customFormat="1" ht="24">
      <c r="A77" s="878">
        <v>17</v>
      </c>
      <c r="B77" s="3342"/>
      <c r="C77" s="814" t="s">
        <v>648</v>
      </c>
      <c r="D77" s="814" t="s">
        <v>649</v>
      </c>
      <c r="E77" s="891">
        <v>0.5</v>
      </c>
      <c r="F77" s="878">
        <v>80</v>
      </c>
    </row>
    <row r="78" spans="1:6" s="874" customFormat="1" ht="24">
      <c r="A78" s="878">
        <v>18</v>
      </c>
      <c r="B78" s="3342"/>
      <c r="C78" s="814" t="s">
        <v>650</v>
      </c>
      <c r="D78" s="814" t="s">
        <v>651</v>
      </c>
      <c r="E78" s="891">
        <v>0.2</v>
      </c>
      <c r="F78" s="878">
        <v>30</v>
      </c>
    </row>
    <row r="79" spans="1:6" s="874" customFormat="1" ht="24">
      <c r="A79" s="878">
        <v>19</v>
      </c>
      <c r="B79" s="3342"/>
      <c r="C79" s="814" t="s">
        <v>652</v>
      </c>
      <c r="D79" s="814" t="s">
        <v>653</v>
      </c>
      <c r="E79" s="891">
        <v>0.5</v>
      </c>
      <c r="F79" s="878">
        <v>80</v>
      </c>
    </row>
    <row r="80" spans="1:6" s="874" customFormat="1" ht="36">
      <c r="A80" s="878">
        <v>20</v>
      </c>
      <c r="B80" s="3342"/>
      <c r="C80" s="814" t="s">
        <v>654</v>
      </c>
      <c r="D80" s="814" t="s">
        <v>655</v>
      </c>
      <c r="E80" s="891">
        <v>0.2</v>
      </c>
      <c r="F80" s="878">
        <v>30</v>
      </c>
    </row>
    <row r="81" spans="1:6" s="874" customFormat="1" ht="36">
      <c r="A81" s="878">
        <v>21</v>
      </c>
      <c r="B81" s="3342"/>
      <c r="C81" s="814" t="s">
        <v>656</v>
      </c>
      <c r="D81" s="814" t="s">
        <v>657</v>
      </c>
      <c r="E81" s="891">
        <v>0.2</v>
      </c>
      <c r="F81" s="878">
        <v>30</v>
      </c>
    </row>
    <row r="82" spans="1:6" s="874" customFormat="1" ht="48">
      <c r="A82" s="878">
        <v>22</v>
      </c>
      <c r="B82" s="3342"/>
      <c r="C82" s="814" t="s">
        <v>658</v>
      </c>
      <c r="D82" s="814" t="s">
        <v>659</v>
      </c>
      <c r="E82" s="891">
        <v>0.2</v>
      </c>
      <c r="F82" s="878">
        <v>30</v>
      </c>
    </row>
    <row r="83" spans="1:6" s="874" customFormat="1" ht="48">
      <c r="A83" s="878">
        <v>23</v>
      </c>
      <c r="B83" s="3342"/>
      <c r="C83" s="814" t="s">
        <v>660</v>
      </c>
      <c r="D83" s="814" t="s">
        <v>661</v>
      </c>
      <c r="E83" s="891">
        <v>0.2</v>
      </c>
      <c r="F83" s="878">
        <v>30</v>
      </c>
    </row>
    <row r="84" spans="1:6" s="874" customFormat="1" ht="36">
      <c r="A84" s="878">
        <v>24</v>
      </c>
      <c r="B84" s="3342"/>
      <c r="C84" s="814" t="s">
        <v>662</v>
      </c>
      <c r="D84" s="814" t="s">
        <v>663</v>
      </c>
      <c r="E84" s="891">
        <v>0.2</v>
      </c>
      <c r="F84" s="878">
        <v>30</v>
      </c>
    </row>
    <row r="85" spans="1:6" s="874" customFormat="1" ht="36">
      <c r="A85" s="878">
        <v>25</v>
      </c>
      <c r="B85" s="3342"/>
      <c r="C85" s="814" t="s">
        <v>664</v>
      </c>
      <c r="D85" s="814" t="s">
        <v>665</v>
      </c>
      <c r="E85" s="891">
        <v>0.5</v>
      </c>
      <c r="F85" s="878">
        <v>80</v>
      </c>
    </row>
    <row r="86" spans="1:6" s="874" customFormat="1" ht="36">
      <c r="A86" s="878">
        <v>26</v>
      </c>
      <c r="B86" s="3342"/>
      <c r="C86" s="814" t="s">
        <v>666</v>
      </c>
      <c r="D86" s="814" t="s">
        <v>667</v>
      </c>
      <c r="E86" s="891">
        <v>0.2</v>
      </c>
      <c r="F86" s="878">
        <v>30</v>
      </c>
    </row>
    <row r="87" spans="1:6" s="874" customFormat="1" ht="36">
      <c r="A87" s="878">
        <v>27</v>
      </c>
      <c r="B87" s="3342"/>
      <c r="C87" s="814" t="s">
        <v>668</v>
      </c>
      <c r="D87" s="814" t="s">
        <v>669</v>
      </c>
      <c r="E87" s="891">
        <v>0.2</v>
      </c>
      <c r="F87" s="878">
        <v>30</v>
      </c>
    </row>
    <row r="88" spans="1:6" s="874" customFormat="1" ht="36">
      <c r="A88" s="878">
        <v>28</v>
      </c>
      <c r="B88" s="3342"/>
      <c r="C88" s="814" t="s">
        <v>670</v>
      </c>
      <c r="D88" s="814" t="s">
        <v>671</v>
      </c>
      <c r="E88" s="891">
        <v>0.2</v>
      </c>
      <c r="F88" s="878">
        <v>30</v>
      </c>
    </row>
    <row r="89" spans="1:6" s="874" customFormat="1" ht="24">
      <c r="A89" s="878">
        <v>29</v>
      </c>
      <c r="B89" s="3342"/>
      <c r="C89" s="814" t="s">
        <v>672</v>
      </c>
      <c r="D89" s="814" t="s">
        <v>673</v>
      </c>
      <c r="E89" s="891">
        <v>0.2</v>
      </c>
      <c r="F89" s="878">
        <v>30</v>
      </c>
    </row>
    <row r="90" spans="1:6" s="874" customFormat="1" ht="24">
      <c r="A90" s="878">
        <v>30</v>
      </c>
      <c r="B90" s="3342"/>
      <c r="C90" s="814" t="s">
        <v>674</v>
      </c>
      <c r="D90" s="814" t="s">
        <v>675</v>
      </c>
      <c r="E90" s="891">
        <v>0.2</v>
      </c>
      <c r="F90" s="878">
        <v>30</v>
      </c>
    </row>
    <row r="91" spans="1:6" s="874" customFormat="1" ht="36">
      <c r="A91" s="878">
        <v>31</v>
      </c>
      <c r="B91" s="3342"/>
      <c r="C91" s="814" t="s">
        <v>676</v>
      </c>
      <c r="D91" s="814" t="s">
        <v>677</v>
      </c>
      <c r="E91" s="891">
        <v>0.2</v>
      </c>
      <c r="F91" s="878">
        <v>30</v>
      </c>
    </row>
    <row r="92" spans="1:6" s="874" customFormat="1" ht="24">
      <c r="A92" s="878">
        <v>32</v>
      </c>
      <c r="B92" s="3342" t="s">
        <v>678</v>
      </c>
      <c r="C92" s="878" t="s">
        <v>679</v>
      </c>
      <c r="D92" s="814" t="s">
        <v>680</v>
      </c>
      <c r="E92" s="891">
        <v>0.2</v>
      </c>
      <c r="F92" s="878">
        <v>30</v>
      </c>
    </row>
    <row r="93" spans="1:6" s="874" customFormat="1" ht="36">
      <c r="A93" s="878">
        <v>33</v>
      </c>
      <c r="B93" s="3342"/>
      <c r="C93" s="878" t="s">
        <v>681</v>
      </c>
      <c r="D93" s="814" t="s">
        <v>682</v>
      </c>
      <c r="E93" s="891">
        <v>0.2</v>
      </c>
      <c r="F93" s="878">
        <v>30</v>
      </c>
    </row>
    <row r="94" spans="1:6" s="874" customFormat="1" ht="48">
      <c r="A94" s="878">
        <v>34</v>
      </c>
      <c r="B94" s="3342"/>
      <c r="C94" s="878" t="s">
        <v>683</v>
      </c>
      <c r="D94" s="814" t="s">
        <v>684</v>
      </c>
      <c r="E94" s="891">
        <v>0.2</v>
      </c>
      <c r="F94" s="878">
        <v>30</v>
      </c>
    </row>
    <row r="95" spans="1:6" s="874" customFormat="1" ht="36">
      <c r="A95" s="878">
        <v>35</v>
      </c>
      <c r="B95" s="3342"/>
      <c r="C95" s="878" t="s">
        <v>685</v>
      </c>
      <c r="D95" s="814" t="s">
        <v>686</v>
      </c>
      <c r="E95" s="891">
        <v>0.2</v>
      </c>
      <c r="F95" s="878">
        <v>30</v>
      </c>
    </row>
    <row r="96" spans="1:6" s="874" customFormat="1" ht="48">
      <c r="A96" s="878">
        <v>36</v>
      </c>
      <c r="B96" s="3342"/>
      <c r="C96" s="814" t="s">
        <v>687</v>
      </c>
      <c r="D96" s="814" t="s">
        <v>688</v>
      </c>
      <c r="E96" s="891">
        <v>0.2</v>
      </c>
      <c r="F96" s="878">
        <v>30</v>
      </c>
    </row>
    <row r="97" spans="1:6" s="874" customFormat="1" ht="36">
      <c r="A97" s="878">
        <v>37</v>
      </c>
      <c r="B97" s="3342"/>
      <c r="C97" s="878" t="s">
        <v>689</v>
      </c>
      <c r="D97" s="814" t="s">
        <v>690</v>
      </c>
      <c r="E97" s="891">
        <v>0.2</v>
      </c>
      <c r="F97" s="878">
        <v>30</v>
      </c>
    </row>
    <row r="98" spans="1:6" s="874" customFormat="1" ht="36">
      <c r="A98" s="878">
        <v>38</v>
      </c>
      <c r="B98" s="3342"/>
      <c r="C98" s="878" t="s">
        <v>691</v>
      </c>
      <c r="D98" s="814" t="s">
        <v>692</v>
      </c>
      <c r="E98" s="891">
        <v>0.2</v>
      </c>
      <c r="F98" s="878">
        <v>30</v>
      </c>
    </row>
    <row r="99" spans="1:6" s="874" customFormat="1" ht="36">
      <c r="A99" s="878">
        <v>39</v>
      </c>
      <c r="B99" s="3342" t="s">
        <v>693</v>
      </c>
      <c r="C99" s="878" t="s">
        <v>694</v>
      </c>
      <c r="D99" s="814" t="s">
        <v>695</v>
      </c>
      <c r="E99" s="891">
        <v>0.3</v>
      </c>
      <c r="F99" s="878">
        <v>50</v>
      </c>
    </row>
    <row r="100" spans="1:6" s="874" customFormat="1" ht="24">
      <c r="A100" s="878">
        <v>40</v>
      </c>
      <c r="B100" s="3342"/>
      <c r="C100" s="878" t="s">
        <v>696</v>
      </c>
      <c r="D100" s="814" t="s">
        <v>697</v>
      </c>
      <c r="E100" s="891">
        <v>0.2</v>
      </c>
      <c r="F100" s="878">
        <v>30</v>
      </c>
    </row>
    <row r="101" spans="1:6" s="874" customFormat="1" ht="36">
      <c r="A101" s="878">
        <v>41</v>
      </c>
      <c r="B101" s="334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2" t="s">
        <v>708</v>
      </c>
      <c r="C105" s="878" t="s">
        <v>709</v>
      </c>
      <c r="D105" s="814" t="s">
        <v>710</v>
      </c>
      <c r="E105" s="891">
        <v>0.2</v>
      </c>
      <c r="F105" s="878">
        <v>30</v>
      </c>
    </row>
    <row r="106" spans="1:6" s="874" customFormat="1" ht="36">
      <c r="A106" s="878">
        <v>46</v>
      </c>
      <c r="B106" s="3342"/>
      <c r="C106" s="878" t="s">
        <v>711</v>
      </c>
      <c r="D106" s="814" t="s">
        <v>712</v>
      </c>
      <c r="E106" s="891">
        <v>0.2</v>
      </c>
      <c r="F106" s="878">
        <v>30</v>
      </c>
    </row>
    <row r="107" spans="1:6" s="874" customFormat="1" ht="36">
      <c r="A107" s="878">
        <v>47</v>
      </c>
      <c r="B107" s="3342" t="s">
        <v>713</v>
      </c>
      <c r="C107" s="878" t="s">
        <v>714</v>
      </c>
      <c r="D107" s="814" t="s">
        <v>715</v>
      </c>
      <c r="E107" s="891">
        <v>0.3</v>
      </c>
      <c r="F107" s="878">
        <v>50</v>
      </c>
    </row>
    <row r="108" spans="1:6" s="874" customFormat="1" ht="36">
      <c r="A108" s="878">
        <v>48</v>
      </c>
      <c r="B108" s="334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2" t="s">
        <v>724</v>
      </c>
      <c r="C111" s="878" t="s">
        <v>725</v>
      </c>
      <c r="D111" s="814" t="s">
        <v>726</v>
      </c>
      <c r="E111" s="891">
        <v>0.2</v>
      </c>
      <c r="F111" s="878">
        <v>30</v>
      </c>
    </row>
    <row r="112" spans="1:6" s="874" customFormat="1" ht="24">
      <c r="A112" s="878">
        <v>52</v>
      </c>
      <c r="B112" s="3342"/>
      <c r="C112" s="878" t="s">
        <v>727</v>
      </c>
      <c r="D112" s="814" t="s">
        <v>728</v>
      </c>
      <c r="E112" s="891">
        <v>0.2</v>
      </c>
      <c r="F112" s="878">
        <v>30</v>
      </c>
    </row>
    <row r="113" spans="1:6" s="874" customFormat="1" ht="24">
      <c r="A113" s="878">
        <v>53</v>
      </c>
      <c r="B113" s="334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2" t="s">
        <v>737</v>
      </c>
      <c r="C116" s="878" t="s">
        <v>738</v>
      </c>
      <c r="D116" s="814" t="s">
        <v>739</v>
      </c>
      <c r="E116" s="891">
        <v>0.2</v>
      </c>
      <c r="F116" s="878">
        <v>30</v>
      </c>
    </row>
    <row r="117" spans="1:6" ht="36">
      <c r="A117" s="878">
        <v>57</v>
      </c>
      <c r="B117" s="334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2995</v>
      </c>
    </row>
    <row r="2" spans="1:5" ht="15.75">
      <c r="A2" s="2896" t="s">
        <v>2987</v>
      </c>
      <c r="B2" s="2897" t="e">
        <f ca="1">SUMIF(B6:B13,"&lt;&gt;#ref!",B6:B13)</f>
        <v>#DIV/0!</v>
      </c>
      <c r="C2" s="2896" t="s">
        <v>2988</v>
      </c>
      <c r="D2" s="2896" t="s">
        <v>2989</v>
      </c>
      <c r="E2" s="2897">
        <f ca="1">SUMIF(E6:E13,"&lt;&gt;#ref!",E6:E13)</f>
        <v>0</v>
      </c>
    </row>
    <row r="3" spans="1:5" ht="15.75">
      <c r="A3" s="2896" t="s">
        <v>2990</v>
      </c>
      <c r="B3" s="2897" t="e">
        <f ca="1">ROUND(B2*10000/E2,0)</f>
        <v>#DIV/0!</v>
      </c>
      <c r="C3" s="2896" t="s">
        <v>2996</v>
      </c>
      <c r="D3" s="2898"/>
      <c r="E3" s="2898"/>
    </row>
    <row r="4" spans="1:5" ht="15.75">
      <c r="A4" s="2899"/>
      <c r="B4" s="2898"/>
      <c r="C4" s="2898"/>
      <c r="D4" s="2898"/>
      <c r="E4" s="2898"/>
    </row>
    <row r="5" spans="1:5" ht="28.5">
      <c r="A5" s="2900" t="s">
        <v>2991</v>
      </c>
      <c r="B5" s="2896" t="s">
        <v>2992</v>
      </c>
      <c r="C5" s="2897"/>
      <c r="D5" s="2898"/>
      <c r="E5" s="2896" t="s">
        <v>2993</v>
      </c>
    </row>
    <row r="6" spans="1:5" ht="15.75">
      <c r="A6" s="2901" t="s">
        <v>2994</v>
      </c>
      <c r="B6" s="2897" t="e">
        <f ca="1">SUMIF(INDIRECT("'"&amp;A6&amp;"'"&amp;"!A:A"),"总价",INDIRECT("'"&amp;A6&amp;"'"&amp;"!B:B"))</f>
        <v>#DIV/0!</v>
      </c>
      <c r="C6" s="2896" t="s">
        <v>2988</v>
      </c>
      <c r="D6" s="2898"/>
      <c r="E6" s="2569">
        <f ca="1">SUMIF(INDIRECT("'"&amp;A6&amp;"'"&amp;"!C:C"),"建筑面积",INDIRECT("'"&amp;A6&amp;"'"&amp;"!D:D"))</f>
        <v>0</v>
      </c>
    </row>
    <row r="7" spans="1:5" ht="15.75">
      <c r="A7" s="2901"/>
      <c r="B7" s="2897" t="e">
        <f ca="1">SUMIF(INDIRECT("'"&amp;A7&amp;"'"&amp;"!A:A"),"总价",INDIRECT("'"&amp;A7&amp;"'"&amp;"!B:B"))</f>
        <v>#REF!</v>
      </c>
      <c r="C7" s="2896" t="s">
        <v>2988</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2988</v>
      </c>
      <c r="D8" s="2898"/>
      <c r="E8" s="2569" t="e">
        <f t="shared" ca="1" si="0"/>
        <v>#REF!</v>
      </c>
    </row>
    <row r="9" spans="1:5" ht="15.75">
      <c r="A9" s="2901"/>
      <c r="B9" s="2897" t="e">
        <f t="shared" ca="1" si="1"/>
        <v>#REF!</v>
      </c>
      <c r="C9" s="2896" t="s">
        <v>2988</v>
      </c>
      <c r="D9" s="2898"/>
      <c r="E9" s="2569" t="e">
        <f t="shared" ca="1" si="0"/>
        <v>#REF!</v>
      </c>
    </row>
    <row r="10" spans="1:5" ht="15.75">
      <c r="A10" s="2901"/>
      <c r="B10" s="2897" t="e">
        <f t="shared" ca="1" si="1"/>
        <v>#REF!</v>
      </c>
      <c r="C10" s="2896" t="s">
        <v>2988</v>
      </c>
      <c r="D10" s="2898"/>
      <c r="E10" s="2569" t="e">
        <f t="shared" ca="1" si="0"/>
        <v>#REF!</v>
      </c>
    </row>
    <row r="11" spans="1:5" ht="15.75">
      <c r="A11" s="2901"/>
      <c r="B11" s="2897" t="e">
        <f t="shared" ca="1" si="1"/>
        <v>#REF!</v>
      </c>
      <c r="C11" s="2896" t="s">
        <v>2988</v>
      </c>
      <c r="D11" s="2898"/>
      <c r="E11" s="2569" t="e">
        <f t="shared" ca="1" si="0"/>
        <v>#REF!</v>
      </c>
    </row>
    <row r="12" spans="1:5" ht="15.75">
      <c r="A12" s="2901"/>
      <c r="B12" s="2897" t="e">
        <f t="shared" ca="1" si="1"/>
        <v>#REF!</v>
      </c>
      <c r="C12" s="2896" t="s">
        <v>2988</v>
      </c>
      <c r="D12" s="2898"/>
      <c r="E12" s="2569" t="e">
        <f t="shared" ca="1" si="0"/>
        <v>#REF!</v>
      </c>
    </row>
    <row r="13" spans="1:5" ht="15.75">
      <c r="A13" s="2901"/>
      <c r="B13" s="2897" t="e">
        <f t="shared" ca="1" si="1"/>
        <v>#REF!</v>
      </c>
      <c r="C13" s="2896" t="s">
        <v>2988</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8" t="s">
        <v>1146</v>
      </c>
      <c r="C1" s="3348"/>
      <c r="D1" s="3348"/>
      <c r="E1" s="3348"/>
      <c r="F1" s="3348"/>
      <c r="G1" s="3347" t="s">
        <v>1147</v>
      </c>
      <c r="H1" s="3347"/>
      <c r="I1" s="3347"/>
      <c r="J1" s="3347"/>
      <c r="K1" s="3347"/>
      <c r="L1" s="3347"/>
      <c r="N1" s="3347" t="s">
        <v>1148</v>
      </c>
      <c r="O1" s="3347"/>
      <c r="P1" s="3347"/>
      <c r="Q1" s="3347"/>
      <c r="R1" s="1442"/>
      <c r="S1" s="3347" t="s">
        <v>1149</v>
      </c>
      <c r="T1" s="3347"/>
      <c r="U1" s="3347"/>
      <c r="V1" s="3347"/>
      <c r="X1" s="3346" t="s">
        <v>1150</v>
      </c>
      <c r="Y1" s="3347"/>
      <c r="Z1" s="3347"/>
      <c r="AA1" s="3347"/>
      <c r="AB1" s="3347"/>
      <c r="AD1" s="3346" t="s">
        <v>1151</v>
      </c>
      <c r="AE1" s="3347"/>
      <c r="AF1" s="3347"/>
      <c r="AG1" s="3347"/>
      <c r="AH1" s="3347"/>
    </row>
    <row r="2" spans="1:34" s="1443" customFormat="1" ht="14.25" thickBot="1">
      <c r="B2" s="1444" t="s">
        <v>1152</v>
      </c>
      <c r="C2" s="1444" t="s">
        <v>1153</v>
      </c>
      <c r="D2" s="1445" t="s">
        <v>1154</v>
      </c>
      <c r="E2" s="1445" t="s">
        <v>1155</v>
      </c>
      <c r="F2" s="1444" t="s">
        <v>1156</v>
      </c>
      <c r="G2" s="1446"/>
      <c r="H2" s="1447"/>
      <c r="I2" s="1444" t="s">
        <v>1152</v>
      </c>
      <c r="J2" s="1445" t="s">
        <v>1377</v>
      </c>
      <c r="K2" s="1445" t="s">
        <v>751</v>
      </c>
      <c r="L2" s="1444" t="s">
        <v>1156</v>
      </c>
      <c r="N2" s="1444" t="s">
        <v>1152</v>
      </c>
      <c r="O2" s="1445" t="s">
        <v>1377</v>
      </c>
      <c r="P2" s="1445" t="s">
        <v>751</v>
      </c>
      <c r="Q2" s="1444" t="s">
        <v>1156</v>
      </c>
      <c r="R2" s="1448"/>
      <c r="S2" s="1444" t="s">
        <v>1152</v>
      </c>
      <c r="T2" s="1445" t="s">
        <v>1377</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2" customFormat="1" ht="14.25">
      <c r="A3" s="2921" t="s">
        <v>3028</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3042</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6">
        <v>2019</v>
      </c>
      <c r="H5" s="1726">
        <v>2</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3029</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3043</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5">
        <v>2019</v>
      </c>
      <c r="H6" s="1460">
        <v>1</v>
      </c>
      <c r="I6" s="2927">
        <v>0.6</v>
      </c>
      <c r="J6" s="2927">
        <v>0.37</v>
      </c>
      <c r="K6" s="2927">
        <v>0.63</v>
      </c>
      <c r="L6" s="2928">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2" customFormat="1">
      <c r="A7" s="1457" t="s">
        <v>3041</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4">
        <v>2018</v>
      </c>
      <c r="H7" s="1460">
        <v>4</v>
      </c>
      <c r="I7" s="2927">
        <v>0.96</v>
      </c>
      <c r="J7" s="2927">
        <v>1.03</v>
      </c>
      <c r="K7" s="2927">
        <v>0.92</v>
      </c>
      <c r="L7" s="2928">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2" customFormat="1" ht="14.45" customHeight="1">
      <c r="A8" s="1457" t="s">
        <v>3035</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4"/>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2" customFormat="1" ht="14.45" customHeight="1">
      <c r="A9" s="1457" t="s">
        <v>3034</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4"/>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2" customFormat="1" ht="15" customHeight="1" thickBot="1">
      <c r="A10" s="1457" t="s">
        <v>3027</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3"/>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7" t="s">
        <v>3024</v>
      </c>
      <c r="B11" s="1465">
        <v>439</v>
      </c>
      <c r="C11" s="1465">
        <v>327</v>
      </c>
      <c r="D11" s="1465">
        <f>C11</f>
        <v>327</v>
      </c>
      <c r="E11" s="1465">
        <v>627</v>
      </c>
      <c r="F11" s="1466">
        <v>283</v>
      </c>
      <c r="G11" s="3349">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3025</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4"/>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7" customFormat="1" ht="14.45" customHeight="1">
      <c r="A13" s="1457" t="s">
        <v>1378</v>
      </c>
      <c r="B13" s="1473">
        <f t="shared" si="73"/>
        <v>419.31181600000002</v>
      </c>
      <c r="C13" s="1473">
        <f t="shared" si="74"/>
        <v>313.95436800000004</v>
      </c>
      <c r="D13" s="1473">
        <f t="shared" si="75"/>
        <v>313.95436800000004</v>
      </c>
      <c r="E13" s="1473">
        <f t="shared" si="76"/>
        <v>596.63028431999999</v>
      </c>
      <c r="F13" s="1473">
        <f t="shared" si="77"/>
        <v>274.74220703999998</v>
      </c>
      <c r="G13" s="3344"/>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9"/>
      <c r="AD13" s="1784">
        <f>ROUND(AVERAGE(I13:I$26)/100,4)</f>
        <v>2.46E-2</v>
      </c>
      <c r="AE13" s="1784">
        <f>ROUND(AVERAGE(J13:J$26)/100,4)</f>
        <v>1.6E-2</v>
      </c>
      <c r="AF13" s="1784">
        <f t="shared" si="1"/>
        <v>1.6E-2</v>
      </c>
      <c r="AG13" s="1784">
        <f>ROUND(AVERAGE(K13:K$26)/100,4)</f>
        <v>2.75E-2</v>
      </c>
      <c r="AH13" s="1784">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3"/>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7" t="s">
        <v>154</v>
      </c>
      <c r="B15" s="1465">
        <v>392</v>
      </c>
      <c r="C15" s="1465">
        <v>302</v>
      </c>
      <c r="D15" s="1465">
        <f>C15</f>
        <v>302</v>
      </c>
      <c r="E15" s="1465">
        <v>553</v>
      </c>
      <c r="F15" s="1466">
        <v>266</v>
      </c>
      <c r="G15" s="3349">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4"/>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4"/>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5"/>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3">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4"/>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4"/>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5"/>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3">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4"/>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4"/>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5"/>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0">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1"/>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1"/>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2"/>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3">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4"/>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4"/>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5"/>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3">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4">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4">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5">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3">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4">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4">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5">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3">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4">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4">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5">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3">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4">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4">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5">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3">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4">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4">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5">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3">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4">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4">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5">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3">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4">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4">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5">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3">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4">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4">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5">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3">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4">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4">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5">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3">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4">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4">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5">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5" activePane="bottomLeft" state="frozen"/>
      <selection activeCell="C50" sqref="C50"/>
      <selection pane="bottomLeft" activeCell="T58" sqref="T5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2997</v>
      </c>
      <c r="C1" s="3355" t="s">
        <v>2998</v>
      </c>
      <c r="D1" s="3356"/>
      <c r="E1" s="3356"/>
      <c r="F1" s="3356"/>
      <c r="G1" s="3356"/>
      <c r="H1" s="3356"/>
      <c r="I1" s="3356"/>
      <c r="J1" s="3356"/>
      <c r="K1" s="3356"/>
      <c r="L1" s="3356"/>
      <c r="M1" s="3356"/>
      <c r="N1" s="3356"/>
      <c r="O1" s="3356"/>
      <c r="P1" s="3356"/>
      <c r="Q1" s="3356"/>
      <c r="R1" s="3356"/>
      <c r="S1" s="3357"/>
      <c r="T1" s="1200" t="s">
        <v>2999</v>
      </c>
    </row>
    <row r="2" spans="1:45" s="705" customFormat="1" ht="38.25">
      <c r="A2" s="1201"/>
      <c r="B2" s="3034" t="s">
        <v>3000</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f>'比较法-商业'!D104</f>
        <v>98</v>
      </c>
      <c r="E4" s="536">
        <f>'比较法-商业'!E104</f>
        <v>96</v>
      </c>
      <c r="F4" s="536">
        <f>'比较法-商业'!F104</f>
        <v>94</v>
      </c>
      <c r="G4" s="536">
        <f>'比较法-商业'!G104</f>
        <v>92</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4" t="s">
        <v>3221</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5" t="s">
        <v>3001</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5" t="s">
        <v>3002</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4" t="s">
        <v>3003</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4" t="s">
        <v>3004</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4" t="s">
        <v>3005</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2" t="s">
        <v>3006</v>
      </c>
      <c r="B17" s="2903" t="s">
        <v>3007</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3035">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4" t="s">
        <v>3008</v>
      </c>
      <c r="E19" s="1787"/>
      <c r="F19" s="1787"/>
      <c r="G19" s="1787"/>
      <c r="H19" s="1276"/>
      <c r="I19" s="168"/>
      <c r="J19" s="168"/>
      <c r="K19" s="168"/>
      <c r="L19" s="168"/>
      <c r="M19" s="168"/>
      <c r="N19" s="168"/>
      <c r="O19" s="168"/>
      <c r="P19" s="168"/>
      <c r="Q19" s="168"/>
      <c r="R19" s="784"/>
      <c r="S19" s="138"/>
    </row>
    <row r="20" spans="1:45" ht="16.5" thickBot="1">
      <c r="A20" s="711" t="s">
        <v>3009</v>
      </c>
      <c r="B20" s="338">
        <f>IF(D20="——",S22,S22-F20)</f>
        <v>11385</v>
      </c>
      <c r="C20" s="168"/>
      <c r="D20" s="2905" t="s">
        <v>70</v>
      </c>
      <c r="E20" s="1788"/>
      <c r="F20" s="1200">
        <f ca="1">SUMIF(INDIRECT("'"&amp;H20&amp;"'"&amp;"!A:A"),"承租人权益价值",INDIRECT("'"&amp;H20&amp;"'"&amp;"!c:c"))</f>
        <v>354</v>
      </c>
      <c r="G20" s="1200" t="s">
        <v>3010</v>
      </c>
      <c r="H20" s="2906" t="s">
        <v>3159</v>
      </c>
      <c r="I20" s="168"/>
      <c r="J20" s="168"/>
      <c r="K20" s="168"/>
      <c r="L20" s="168"/>
      <c r="M20" s="168"/>
      <c r="N20" s="168"/>
      <c r="O20" s="168"/>
      <c r="P20" s="168"/>
      <c r="Q20" s="168"/>
      <c r="R20" s="784"/>
      <c r="S20" s="138"/>
    </row>
    <row r="21" spans="1:45" ht="15.75">
      <c r="A21" s="711" t="s">
        <v>3011</v>
      </c>
      <c r="B21" s="338">
        <f>R22</f>
        <v>36777</v>
      </c>
      <c r="C21" s="168"/>
      <c r="D21" s="168"/>
      <c r="E21" s="168"/>
      <c r="F21" s="168"/>
      <c r="G21" s="168"/>
      <c r="H21" s="168"/>
      <c r="I21" s="168"/>
      <c r="J21" s="168"/>
      <c r="K21" s="168"/>
      <c r="L21" s="168"/>
      <c r="M21" s="168"/>
      <c r="N21" s="168"/>
      <c r="O21" s="168"/>
      <c r="P21" s="168"/>
      <c r="Q21" s="168"/>
      <c r="R21" s="784"/>
      <c r="S21" s="138"/>
    </row>
    <row r="22" spans="1:45">
      <c r="A22" s="361" t="s">
        <v>3012</v>
      </c>
      <c r="B22" s="24">
        <f>SUM(B24:B10000)</f>
        <v>3095.6800000000007</v>
      </c>
      <c r="C22" s="3218" t="s">
        <v>33</v>
      </c>
      <c r="D22" s="3219"/>
      <c r="E22" s="3219"/>
      <c r="F22" s="3219"/>
      <c r="G22" s="3219"/>
      <c r="H22" s="3219"/>
      <c r="I22" s="3219"/>
      <c r="J22" s="3219"/>
      <c r="K22" s="3219"/>
      <c r="L22" s="3219"/>
      <c r="M22" s="3219"/>
      <c r="N22" s="3219"/>
      <c r="O22" s="3219"/>
      <c r="P22" s="3219"/>
      <c r="Q22" s="3354"/>
      <c r="R22" s="712">
        <f>ROUND(S22*10000/B22,0)</f>
        <v>36777</v>
      </c>
      <c r="S22" s="24">
        <f>SUM(S24:S10000)</f>
        <v>11385</v>
      </c>
      <c r="T22" s="791">
        <f ca="1">结果表!G19/典型户型修正!S22</f>
        <v>0.73921826965305226</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3" t="s">
        <v>3016</v>
      </c>
      <c r="S23" s="11" t="s">
        <v>3017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3018</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37836</v>
      </c>
      <c r="S24" s="715">
        <f t="shared" ref="S24" si="11">ROUND(R24*B24/10000,0)</f>
        <v>118</v>
      </c>
      <c r="T24" s="796">
        <f ca="1">R24*$T$22</f>
        <v>27969.062450592886</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2">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37836</v>
      </c>
      <c r="S25" s="361">
        <f t="shared" ref="S25:S56" si="14">ROUND(R25*B25/10000,0)</f>
        <v>136</v>
      </c>
      <c r="T25" s="796">
        <f t="shared" ref="T25:T58" ca="1" si="15">R25*$T$22</f>
        <v>27969.062450592886</v>
      </c>
    </row>
    <row r="26" spans="1:45">
      <c r="A26" s="159">
        <v>3</v>
      </c>
      <c r="B26" s="2982">
        <v>64.66</v>
      </c>
      <c r="C26" s="24">
        <f t="shared" si="12"/>
        <v>0.98</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37079</v>
      </c>
      <c r="S26" s="361">
        <f t="shared" si="14"/>
        <v>240</v>
      </c>
      <c r="T26" s="796">
        <f t="shared" ca="1" si="15"/>
        <v>27409.474220465523</v>
      </c>
    </row>
    <row r="27" spans="1:45">
      <c r="A27" s="159">
        <v>4</v>
      </c>
      <c r="B27" s="2982">
        <v>70.14</v>
      </c>
      <c r="C27" s="24">
        <f t="shared" si="12"/>
        <v>0.98</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37079</v>
      </c>
      <c r="S27" s="361">
        <f t="shared" si="14"/>
        <v>260</v>
      </c>
      <c r="T27" s="796">
        <f ca="1">R27*$T$22</f>
        <v>27409.474220465523</v>
      </c>
    </row>
    <row r="28" spans="1:45">
      <c r="A28" s="159">
        <v>5</v>
      </c>
      <c r="B28" s="2982">
        <v>71.08</v>
      </c>
      <c r="C28" s="24">
        <f t="shared" si="12"/>
        <v>0.98</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37079</v>
      </c>
      <c r="S28" s="361">
        <f t="shared" si="14"/>
        <v>264</v>
      </c>
      <c r="T28" s="796">
        <f t="shared" ca="1" si="15"/>
        <v>27409.474220465523</v>
      </c>
    </row>
    <row r="29" spans="1:45">
      <c r="A29" s="159">
        <v>6</v>
      </c>
      <c r="B29" s="2982">
        <v>129.80000000000001</v>
      </c>
      <c r="C29" s="24">
        <f t="shared" si="12"/>
        <v>0.98</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37079</v>
      </c>
      <c r="S29" s="361">
        <f t="shared" si="14"/>
        <v>481</v>
      </c>
      <c r="T29" s="796">
        <f t="shared" ca="1" si="15"/>
        <v>27409.474220465523</v>
      </c>
    </row>
    <row r="30" spans="1:45">
      <c r="A30" s="159">
        <v>7</v>
      </c>
      <c r="B30" s="2982">
        <v>75.27</v>
      </c>
      <c r="C30" s="24">
        <f t="shared" si="12"/>
        <v>0.98</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37079</v>
      </c>
      <c r="S30" s="361">
        <f t="shared" si="14"/>
        <v>279</v>
      </c>
      <c r="T30" s="796">
        <f t="shared" ca="1" si="15"/>
        <v>27409.474220465523</v>
      </c>
    </row>
    <row r="31" spans="1:45">
      <c r="A31" s="159">
        <v>8</v>
      </c>
      <c r="B31" s="2982">
        <v>70.739999999999995</v>
      </c>
      <c r="C31" s="24">
        <f t="shared" si="12"/>
        <v>0.98</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37079</v>
      </c>
      <c r="S31" s="361">
        <f t="shared" si="14"/>
        <v>262</v>
      </c>
      <c r="T31" s="796">
        <f t="shared" ca="1" si="15"/>
        <v>27409.474220465523</v>
      </c>
    </row>
    <row r="32" spans="1:45">
      <c r="A32" s="159">
        <v>9</v>
      </c>
      <c r="B32" s="2982">
        <v>225.74</v>
      </c>
      <c r="C32" s="24">
        <f t="shared" si="12"/>
        <v>0.96</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36323</v>
      </c>
      <c r="S32" s="361">
        <f t="shared" si="14"/>
        <v>820</v>
      </c>
      <c r="T32" s="796">
        <f t="shared" ca="1" si="15"/>
        <v>26850.625208607817</v>
      </c>
    </row>
    <row r="33" spans="1:20">
      <c r="A33" s="159">
        <v>10</v>
      </c>
      <c r="B33" s="2982">
        <v>88.24</v>
      </c>
      <c r="C33" s="24">
        <f t="shared" si="12"/>
        <v>0.98</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37079</v>
      </c>
      <c r="S33" s="361">
        <f t="shared" si="14"/>
        <v>327</v>
      </c>
      <c r="T33" s="796">
        <f t="shared" ca="1" si="15"/>
        <v>27409.474220465523</v>
      </c>
    </row>
    <row r="34" spans="1:20">
      <c r="A34" s="159">
        <v>11</v>
      </c>
      <c r="B34" s="2982">
        <v>81.84</v>
      </c>
      <c r="C34" s="24">
        <f t="shared" si="12"/>
        <v>0.98</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37079</v>
      </c>
      <c r="S34" s="361">
        <f t="shared" si="14"/>
        <v>303</v>
      </c>
      <c r="T34" s="796">
        <f t="shared" ca="1" si="15"/>
        <v>27409.474220465523</v>
      </c>
    </row>
    <row r="35" spans="1:20">
      <c r="A35" s="159">
        <v>12</v>
      </c>
      <c r="B35" s="2982">
        <v>63.96</v>
      </c>
      <c r="C35" s="24">
        <f t="shared" si="12"/>
        <v>0.98</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37079</v>
      </c>
      <c r="S35" s="361">
        <f t="shared" si="14"/>
        <v>237</v>
      </c>
      <c r="T35" s="796">
        <f t="shared" ca="1" si="15"/>
        <v>27409.474220465523</v>
      </c>
    </row>
    <row r="36" spans="1:20">
      <c r="A36" s="159">
        <v>13</v>
      </c>
      <c r="B36" s="2982">
        <v>63.96</v>
      </c>
      <c r="C36" s="24">
        <f t="shared" si="12"/>
        <v>0.98</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37079</v>
      </c>
      <c r="S36" s="361">
        <f t="shared" si="14"/>
        <v>237</v>
      </c>
      <c r="T36" s="796">
        <f t="shared" ca="1" si="15"/>
        <v>27409.474220465523</v>
      </c>
    </row>
    <row r="37" spans="1:20">
      <c r="A37" s="159">
        <v>14</v>
      </c>
      <c r="B37" s="2982">
        <v>63.96</v>
      </c>
      <c r="C37" s="24">
        <f t="shared" si="12"/>
        <v>0.98</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37079</v>
      </c>
      <c r="S37" s="361">
        <f t="shared" si="14"/>
        <v>237</v>
      </c>
      <c r="T37" s="796">
        <f t="shared" ca="1" si="15"/>
        <v>27409.474220465523</v>
      </c>
    </row>
    <row r="38" spans="1:20">
      <c r="A38" s="159">
        <v>15</v>
      </c>
      <c r="B38" s="2982">
        <v>63.96</v>
      </c>
      <c r="C38" s="24">
        <f t="shared" si="12"/>
        <v>0.98</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37079</v>
      </c>
      <c r="S38" s="361">
        <f t="shared" si="14"/>
        <v>237</v>
      </c>
      <c r="T38" s="796">
        <f t="shared" ca="1" si="15"/>
        <v>27409.474220465523</v>
      </c>
    </row>
    <row r="39" spans="1:20">
      <c r="A39" s="159">
        <v>16</v>
      </c>
      <c r="B39" s="2983">
        <v>141.24</v>
      </c>
      <c r="C39" s="24">
        <f t="shared" si="12"/>
        <v>0.98</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37079</v>
      </c>
      <c r="S39" s="361">
        <f t="shared" si="14"/>
        <v>524</v>
      </c>
      <c r="T39" s="796">
        <f t="shared" ca="1" si="15"/>
        <v>27409.474220465523</v>
      </c>
    </row>
    <row r="40" spans="1:20">
      <c r="A40" s="159">
        <v>17</v>
      </c>
      <c r="B40" s="2983">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37836</v>
      </c>
      <c r="S40" s="361">
        <f t="shared" si="14"/>
        <v>123</v>
      </c>
      <c r="T40" s="796">
        <f t="shared" ca="1" si="15"/>
        <v>27969.062450592886</v>
      </c>
    </row>
    <row r="41" spans="1:20">
      <c r="A41" s="159">
        <v>18</v>
      </c>
      <c r="B41" s="2983">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37836</v>
      </c>
      <c r="S41" s="361">
        <f t="shared" si="14"/>
        <v>164</v>
      </c>
      <c r="T41" s="796">
        <f t="shared" ca="1" si="15"/>
        <v>27969.062450592886</v>
      </c>
    </row>
    <row r="42" spans="1:20">
      <c r="A42" s="159">
        <v>19</v>
      </c>
      <c r="B42" s="2983">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37836</v>
      </c>
      <c r="S42" s="361">
        <f t="shared" si="14"/>
        <v>158</v>
      </c>
      <c r="T42" s="796">
        <f t="shared" ca="1" si="15"/>
        <v>27969.062450592886</v>
      </c>
    </row>
    <row r="43" spans="1:20">
      <c r="A43" s="159">
        <v>20</v>
      </c>
      <c r="B43" s="2983">
        <v>55.44</v>
      </c>
      <c r="C43" s="24">
        <f t="shared" si="12"/>
        <v>0.98</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37079</v>
      </c>
      <c r="S43" s="361">
        <f t="shared" si="14"/>
        <v>206</v>
      </c>
      <c r="T43" s="796">
        <f t="shared" ca="1" si="15"/>
        <v>27409.474220465523</v>
      </c>
    </row>
    <row r="44" spans="1:20">
      <c r="A44" s="159">
        <v>21</v>
      </c>
      <c r="B44" s="2983">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37836</v>
      </c>
      <c r="S44" s="361">
        <f t="shared" si="14"/>
        <v>141</v>
      </c>
      <c r="T44" s="796">
        <f t="shared" ca="1" si="15"/>
        <v>27969.062450592886</v>
      </c>
    </row>
    <row r="45" spans="1:20">
      <c r="A45" s="159">
        <v>22</v>
      </c>
      <c r="B45" s="2983">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37836</v>
      </c>
      <c r="S45" s="361">
        <f t="shared" si="14"/>
        <v>121</v>
      </c>
      <c r="T45" s="796">
        <f t="shared" ca="1" si="15"/>
        <v>27969.062450592886</v>
      </c>
    </row>
    <row r="46" spans="1:20">
      <c r="A46" s="159">
        <v>23</v>
      </c>
      <c r="B46" s="2983">
        <v>182.1</v>
      </c>
      <c r="C46" s="24">
        <f t="shared" si="12"/>
        <v>0.96</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36323</v>
      </c>
      <c r="S46" s="361">
        <f t="shared" si="14"/>
        <v>661</v>
      </c>
      <c r="T46" s="796">
        <f t="shared" ca="1" si="15"/>
        <v>26850.625208607817</v>
      </c>
    </row>
    <row r="47" spans="1:20">
      <c r="A47" s="159">
        <v>24</v>
      </c>
      <c r="B47" s="2983">
        <v>264.62</v>
      </c>
      <c r="C47" s="24">
        <f t="shared" si="12"/>
        <v>0.96</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36323</v>
      </c>
      <c r="S47" s="361">
        <f t="shared" si="14"/>
        <v>961</v>
      </c>
      <c r="T47" s="796">
        <f t="shared" ca="1" si="15"/>
        <v>26850.625208607817</v>
      </c>
    </row>
    <row r="48" spans="1:20">
      <c r="A48" s="159">
        <v>25</v>
      </c>
      <c r="B48" s="2983">
        <v>259</v>
      </c>
      <c r="C48" s="24">
        <f t="shared" si="12"/>
        <v>0.96</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36323</v>
      </c>
      <c r="S48" s="361">
        <f t="shared" si="14"/>
        <v>941</v>
      </c>
      <c r="T48" s="796">
        <f t="shared" ca="1" si="15"/>
        <v>26850.625208607817</v>
      </c>
    </row>
    <row r="49" spans="1:20">
      <c r="A49" s="159">
        <v>26</v>
      </c>
      <c r="B49" s="2983">
        <v>254.27</v>
      </c>
      <c r="C49" s="24">
        <f t="shared" si="12"/>
        <v>0.96</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36323</v>
      </c>
      <c r="S49" s="361">
        <f t="shared" si="14"/>
        <v>924</v>
      </c>
      <c r="T49" s="796">
        <f t="shared" ca="1" si="15"/>
        <v>26850.625208607817</v>
      </c>
    </row>
    <row r="50" spans="1:20">
      <c r="A50" s="159">
        <v>27</v>
      </c>
      <c r="B50" s="2983">
        <v>82.76</v>
      </c>
      <c r="C50" s="24">
        <f t="shared" si="12"/>
        <v>0.98</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37079</v>
      </c>
      <c r="S50" s="361">
        <f t="shared" si="14"/>
        <v>307</v>
      </c>
      <c r="T50" s="796">
        <f t="shared" ca="1" si="15"/>
        <v>27409.474220465523</v>
      </c>
    </row>
    <row r="51" spans="1:20">
      <c r="A51" s="159">
        <v>28</v>
      </c>
      <c r="B51" s="2983">
        <v>81.84</v>
      </c>
      <c r="C51" s="24">
        <f t="shared" si="12"/>
        <v>0.98</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37079</v>
      </c>
      <c r="S51" s="361">
        <f t="shared" si="14"/>
        <v>303</v>
      </c>
      <c r="T51" s="796">
        <f t="shared" ca="1" si="15"/>
        <v>27409.474220465523</v>
      </c>
    </row>
    <row r="52" spans="1:20">
      <c r="A52" s="159">
        <v>29</v>
      </c>
      <c r="B52" s="2983">
        <v>84.14</v>
      </c>
      <c r="C52" s="24">
        <f t="shared" si="12"/>
        <v>0.98</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37079</v>
      </c>
      <c r="S52" s="361">
        <f t="shared" si="14"/>
        <v>312</v>
      </c>
      <c r="T52" s="796">
        <f t="shared" ca="1" si="15"/>
        <v>27409.474220465523</v>
      </c>
    </row>
    <row r="53" spans="1:20">
      <c r="A53" s="159">
        <v>30</v>
      </c>
      <c r="B53" s="2983">
        <v>59.44</v>
      </c>
      <c r="C53" s="24">
        <f t="shared" si="12"/>
        <v>0.98</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37079</v>
      </c>
      <c r="S53" s="361">
        <f t="shared" si="14"/>
        <v>220</v>
      </c>
      <c r="T53" s="796">
        <f t="shared" ca="1" si="15"/>
        <v>27409.474220465523</v>
      </c>
    </row>
    <row r="54" spans="1:20">
      <c r="A54" s="159">
        <v>31</v>
      </c>
      <c r="B54" s="2983">
        <v>63.96</v>
      </c>
      <c r="C54" s="24">
        <f t="shared" si="12"/>
        <v>0.98</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37079</v>
      </c>
      <c r="S54" s="361">
        <f t="shared" si="14"/>
        <v>237</v>
      </c>
      <c r="T54" s="796">
        <f t="shared" ca="1" si="15"/>
        <v>27409.474220465523</v>
      </c>
    </row>
    <row r="55" spans="1:20">
      <c r="A55" s="159">
        <v>32</v>
      </c>
      <c r="B55" s="2983">
        <v>61.34</v>
      </c>
      <c r="C55" s="24">
        <f t="shared" si="12"/>
        <v>0.98</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37079</v>
      </c>
      <c r="S55" s="361">
        <f t="shared" si="14"/>
        <v>227</v>
      </c>
      <c r="T55" s="796">
        <f t="shared" ca="1" si="15"/>
        <v>27409.474220465523</v>
      </c>
    </row>
    <row r="56" spans="1:20">
      <c r="A56" s="159">
        <v>33</v>
      </c>
      <c r="B56" s="2983">
        <v>93.61</v>
      </c>
      <c r="C56" s="24">
        <f t="shared" si="12"/>
        <v>0.98</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37079</v>
      </c>
      <c r="S56" s="361">
        <f t="shared" si="14"/>
        <v>347</v>
      </c>
      <c r="T56" s="796">
        <f t="shared" ca="1" si="15"/>
        <v>27409.474220465523</v>
      </c>
    </row>
    <row r="57" spans="1:20">
      <c r="A57" s="159">
        <v>34</v>
      </c>
      <c r="B57" s="2983">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37836</v>
      </c>
      <c r="S57" s="361">
        <f t="shared" ref="S57:S76" si="25">ROUND(R57*B57/10000,0)</f>
        <v>17</v>
      </c>
      <c r="T57" s="796">
        <f t="shared" ca="1" si="15"/>
        <v>27969.062450592886</v>
      </c>
    </row>
    <row r="58" spans="1:20">
      <c r="A58" s="159">
        <v>35</v>
      </c>
      <c r="B58" s="2982">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26485</v>
      </c>
      <c r="S58" s="361">
        <f t="shared" si="25"/>
        <v>53</v>
      </c>
      <c r="T58" s="796">
        <f t="shared" ca="1" si="15"/>
        <v>19578.195871761091</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7" sqref="J3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3160</v>
      </c>
      <c r="D1" s="1815" t="s">
        <v>70</v>
      </c>
      <c r="E1" s="1816" t="s">
        <v>1379</v>
      </c>
      <c r="F1" s="1279">
        <f ca="1">J53</f>
        <v>24.97</v>
      </c>
      <c r="G1" s="1831">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1507</v>
      </c>
      <c r="B2" s="1839">
        <f ca="1">C40+J29+L46</f>
        <v>5962</v>
      </c>
      <c r="C2" s="1840" t="s">
        <v>1508</v>
      </c>
      <c r="D2" s="1840"/>
      <c r="E2" s="1841"/>
      <c r="F2" s="1842"/>
      <c r="G2" s="1843"/>
      <c r="H2" s="1835"/>
      <c r="I2" s="1835"/>
      <c r="J2" s="1835"/>
      <c r="K2" s="1836"/>
      <c r="L2" s="1835"/>
      <c r="M2" s="1835"/>
    </row>
    <row r="3" spans="1:37" ht="18" customHeight="1" thickBot="1">
      <c r="A3" s="1844" t="s">
        <v>1509</v>
      </c>
      <c r="B3" s="1845">
        <f ca="1">IF(ISERROR(B2*10000/F43),0,ROUND(B2*10000/F43,0))</f>
        <v>19384</v>
      </c>
      <c r="C3" s="1840" t="s">
        <v>1510</v>
      </c>
      <c r="D3" s="1840"/>
      <c r="E3" s="1841"/>
      <c r="F3" s="1842"/>
      <c r="G3" s="1843"/>
      <c r="H3" s="740"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8">
        <f ca="1">C6+C10+C12</f>
        <v>480</v>
      </c>
      <c r="D5" s="1817" t="s">
        <v>1394</v>
      </c>
      <c r="E5" s="1289"/>
      <c r="F5" s="1290"/>
      <c r="G5" s="1846"/>
      <c r="H5" s="344">
        <v>1</v>
      </c>
      <c r="I5" s="345" t="s">
        <v>1393</v>
      </c>
      <c r="J5" s="1288">
        <f ca="1">J6+J10+J12</f>
        <v>606</v>
      </c>
      <c r="K5" s="1817" t="s">
        <v>1394</v>
      </c>
      <c r="L5" s="1289"/>
      <c r="M5" s="1290"/>
    </row>
    <row r="6" spans="1:37" ht="18" customHeight="1">
      <c r="A6" s="1287" t="s">
        <v>1032</v>
      </c>
      <c r="B6" s="3360" t="s">
        <v>1395</v>
      </c>
      <c r="C6" s="1292">
        <f ca="1">ROUND(F6*F8*F7*(1-F9)/10000,0)</f>
        <v>479</v>
      </c>
      <c r="D6" s="164" t="s">
        <v>3022</v>
      </c>
      <c r="E6" s="347" t="s">
        <v>1397</v>
      </c>
      <c r="F6" s="348">
        <f ca="1">INDIRECT("'数据-取费表'!u"&amp;$G$1)</f>
        <v>4.2699999999999996</v>
      </c>
      <c r="G6" s="1846"/>
      <c r="H6" s="1287" t="s">
        <v>1032</v>
      </c>
      <c r="I6" s="3360" t="s">
        <v>1395</v>
      </c>
      <c r="J6" s="346">
        <f ca="1">ROUND(M6*M8*M7*(1-M9)/10000,0)</f>
        <v>604</v>
      </c>
      <c r="K6" s="164" t="s">
        <v>3021</v>
      </c>
      <c r="L6" s="347" t="s">
        <v>1397</v>
      </c>
      <c r="M6" s="348">
        <f ca="1">INDIRECT("'数据-取费表'!z"&amp;$G$1)</f>
        <v>5.98</v>
      </c>
    </row>
    <row r="7" spans="1:37" ht="18" customHeight="1">
      <c r="A7" s="1291"/>
      <c r="B7" s="3361"/>
      <c r="C7" s="1293"/>
      <c r="D7" s="352"/>
      <c r="E7" s="1294" t="s">
        <v>1398</v>
      </c>
      <c r="F7" s="348">
        <f ca="1">IF(INDIRECT("'数据-取费表'!ah"&amp;$G$1)="",INDIRECT("'数据-取费表'!k"&amp;$G$1),INDIRECT("'数据-取费表'!ah"&amp;$G$1))</f>
        <v>3075.7000000000007</v>
      </c>
      <c r="G7" s="1846"/>
      <c r="H7" s="349"/>
      <c r="I7" s="3361"/>
      <c r="J7" s="351"/>
      <c r="K7" s="352"/>
      <c r="L7" s="347" t="s">
        <v>1398</v>
      </c>
      <c r="M7" s="348">
        <f ca="1">F7</f>
        <v>3075.7000000000007</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v>
      </c>
      <c r="G9" s="1846"/>
      <c r="H9" s="349"/>
      <c r="I9" s="3362"/>
      <c r="J9" s="351"/>
      <c r="K9" s="352"/>
      <c r="L9" s="358" t="s">
        <v>1400</v>
      </c>
      <c r="M9" s="359">
        <f ca="1">INDIRECT("'数据-取费表'!ab"&amp;$G$1)</f>
        <v>0.1</v>
      </c>
    </row>
    <row r="10" spans="1:37" ht="18" customHeight="1">
      <c r="A10" s="1287" t="s">
        <v>1036</v>
      </c>
      <c r="B10" s="1818" t="s">
        <v>1401</v>
      </c>
      <c r="C10" s="361">
        <f ca="1">ROUND(IF(F10="押一",C6/12*F11,IF(F10="押二",C6/12*2*F11,IF(F10="押三",C6/12*3*F11,C11*F11))),0)</f>
        <v>1</v>
      </c>
      <c r="D10" s="1819" t="s">
        <v>3031</v>
      </c>
      <c r="E10" s="358" t="s">
        <v>1402</v>
      </c>
      <c r="F10" s="2977" t="s">
        <v>3273</v>
      </c>
      <c r="G10" s="1846"/>
      <c r="H10" s="1287" t="s">
        <v>1036</v>
      </c>
      <c r="I10" s="1818" t="s">
        <v>1401</v>
      </c>
      <c r="J10" s="346">
        <f ca="1">ROUND(IF(M10="押一",J6/12*M11,IF(M10="押二",J6/12*2*M11,IF(M10="押三",J6/12*3*M11,J11*M11))),0)</f>
        <v>2</v>
      </c>
      <c r="K10" s="1819" t="s">
        <v>3030</v>
      </c>
      <c r="L10" s="358" t="s">
        <v>1402</v>
      </c>
      <c r="M10" s="1362" t="s">
        <v>1403</v>
      </c>
    </row>
    <row r="11" spans="1:37" ht="18" customHeight="1">
      <c r="A11" s="353"/>
      <c r="B11" s="1820" t="s">
        <v>1380</v>
      </c>
      <c r="C11" s="1174">
        <v>71.666669999999996</v>
      </c>
      <c r="D11" s="1821"/>
      <c r="E11" s="358" t="s">
        <v>1404</v>
      </c>
      <c r="F11" s="359">
        <f ca="1">'数据-取费表'!B39</f>
        <v>1.4999999999999999E-2</v>
      </c>
      <c r="G11" s="1846"/>
      <c r="H11" s="1295"/>
      <c r="I11" s="1820" t="s">
        <v>1380</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1088</v>
      </c>
      <c r="D13" s="1327" t="s">
        <v>1407</v>
      </c>
      <c r="E13" s="1327" t="s">
        <v>1408</v>
      </c>
      <c r="F13" s="1328">
        <f ca="1">INDIRECT("'数据-取费表'!y"&amp;$G$1)</f>
        <v>0.8</v>
      </c>
      <c r="G13" s="1846"/>
      <c r="H13" s="1325">
        <v>2</v>
      </c>
      <c r="I13" s="1326" t="s">
        <v>1406</v>
      </c>
      <c r="J13" s="1286">
        <f ca="1">ROUND(J14*J15,0)</f>
        <v>884</v>
      </c>
      <c r="K13" s="1333" t="s">
        <v>1407</v>
      </c>
      <c r="L13" s="1847"/>
      <c r="M13" s="1848"/>
    </row>
    <row r="14" spans="1:37" ht="18" customHeight="1">
      <c r="A14" s="1197" t="s">
        <v>1031</v>
      </c>
      <c r="B14" s="347" t="s">
        <v>1409</v>
      </c>
      <c r="C14" s="363">
        <f ca="1">INDIRECT("'数据-取费表'!m"&amp;$G$1)+INDIRECT("'数据-取费表'!t"&amp;$G$1)</f>
        <v>923</v>
      </c>
      <c r="D14" s="1795" t="s">
        <v>1410</v>
      </c>
      <c r="E14" s="1789"/>
      <c r="F14" s="364"/>
      <c r="G14" s="1846"/>
      <c r="H14" s="1197" t="s">
        <v>1032</v>
      </c>
      <c r="I14" s="347" t="s">
        <v>1411</v>
      </c>
      <c r="J14" s="24">
        <f ca="1">C29</f>
        <v>1360</v>
      </c>
      <c r="K14" s="15"/>
      <c r="L14" s="975"/>
      <c r="M14" s="976"/>
    </row>
    <row r="15" spans="1:37" s="1853" customFormat="1" ht="18" customHeight="1" thickBot="1">
      <c r="A15" s="1197" t="s">
        <v>1033</v>
      </c>
      <c r="B15" s="347" t="s">
        <v>1412</v>
      </c>
      <c r="C15" s="24">
        <f ca="1">ROUND(C14*F15,0)</f>
        <v>28</v>
      </c>
      <c r="D15" s="365" t="s">
        <v>1413</v>
      </c>
      <c r="E15" s="365" t="s">
        <v>1414</v>
      </c>
      <c r="F15" s="366">
        <f>'数据-取费表'!B33</f>
        <v>0.03</v>
      </c>
      <c r="G15" s="1849"/>
      <c r="H15" s="1335" t="s">
        <v>1036</v>
      </c>
      <c r="I15" s="1336" t="s">
        <v>1408</v>
      </c>
      <c r="J15" s="1345">
        <f ca="1">INDIRECT("'数据-取费表'!ad"&amp;$G$1)</f>
        <v>0.65</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ROUND(INDIRECT("'数据-取费表'!m"&amp;$G$1)*F16,0)</f>
        <v>0</v>
      </c>
      <c r="D16" s="347" t="s">
        <v>1413</v>
      </c>
      <c r="E16" s="347" t="s">
        <v>1414</v>
      </c>
      <c r="F16" s="367">
        <f ca="1">IF(INDIRECT("'数据-取费表'!c"&amp;$G$1)="住宅",'数据-取费表'!B34,0)</f>
        <v>0</v>
      </c>
      <c r="G16" s="1846"/>
      <c r="H16" s="1325" t="s">
        <v>1027</v>
      </c>
      <c r="I16" s="1326" t="s">
        <v>1416</v>
      </c>
      <c r="J16" s="355">
        <f ca="1">ROUND(J17+J22+J23+J24,0)</f>
        <v>139</v>
      </c>
      <c r="K16" s="1333" t="s">
        <v>1417</v>
      </c>
      <c r="L16" s="1334"/>
      <c r="M16" s="1290"/>
    </row>
    <row r="17" spans="1:37" s="1853" customFormat="1" ht="18" customHeight="1">
      <c r="A17" s="1197" t="s">
        <v>1382</v>
      </c>
      <c r="B17" s="347" t="s">
        <v>1418</v>
      </c>
      <c r="C17" s="24">
        <f ca="1">ROUND(F17*(F43+INDIRECT("'数据-取费表'!S"&amp;$G$1))/10000,0)</f>
        <v>62</v>
      </c>
      <c r="D17" s="347" t="s">
        <v>1419</v>
      </c>
      <c r="E17" s="347" t="s">
        <v>1420</v>
      </c>
      <c r="F17" s="26">
        <f>'数据-取费表'!B35</f>
        <v>200</v>
      </c>
      <c r="G17" s="1849"/>
      <c r="H17" s="1197" t="s">
        <v>1032</v>
      </c>
      <c r="I17" s="347" t="s">
        <v>1421</v>
      </c>
      <c r="J17" s="24">
        <f ca="1">ROUND(IF(项目基本情况!B11="自然人",J5*M17,J18+J19+J20),1)</f>
        <v>105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14</v>
      </c>
      <c r="D18" s="347" t="s">
        <v>1413</v>
      </c>
      <c r="E18" s="347" t="s">
        <v>1414</v>
      </c>
      <c r="F18" s="367">
        <f>'数据-取费表'!B36</f>
        <v>1.4999999999999999E-2</v>
      </c>
      <c r="G18" s="1849"/>
      <c r="H18" s="1197" t="s">
        <v>1031</v>
      </c>
      <c r="I18" s="347" t="s">
        <v>1425</v>
      </c>
      <c r="J18" s="24">
        <f ca="1">ROUND(J5*M18/(1+'数据-取费表'!C42),2)</f>
        <v>32.32</v>
      </c>
      <c r="K18" s="1793"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1027</v>
      </c>
      <c r="D19" s="140" t="s">
        <v>1428</v>
      </c>
      <c r="E19" s="1813"/>
      <c r="F19" s="26"/>
      <c r="G19" s="1846"/>
      <c r="H19" s="1197" t="s">
        <v>1033</v>
      </c>
      <c r="I19" s="347" t="s">
        <v>1429</v>
      </c>
      <c r="J19" s="24">
        <f ca="1">IF(K19="按租金收入计税",ROUND(J5*M19,2),ROUND(C29*M19*0.7,2))</f>
        <v>72.72</v>
      </c>
      <c r="K19" s="1823" t="s">
        <v>3162</v>
      </c>
      <c r="L19" s="347" t="s">
        <v>1414</v>
      </c>
      <c r="M19" s="367">
        <f>IF(K19="按租金收入计税",'数据-取费表'!B51,'数据-取费表'!B50)</f>
        <v>0.12</v>
      </c>
    </row>
    <row r="20" spans="1:37" s="1853" customFormat="1" ht="18" customHeight="1">
      <c r="A20" s="1197" t="s">
        <v>1036</v>
      </c>
      <c r="B20" s="347" t="s">
        <v>1431</v>
      </c>
      <c r="C20" s="24">
        <f ca="1">ROUND(C19*F20,0)</f>
        <v>21</v>
      </c>
      <c r="D20" s="369" t="s">
        <v>1432</v>
      </c>
      <c r="E20" s="347" t="s">
        <v>1414</v>
      </c>
      <c r="F20" s="367">
        <f>'数据-取费表'!B37</f>
        <v>0.02</v>
      </c>
      <c r="G20" s="1849"/>
      <c r="H20" s="1197" t="s">
        <v>1381</v>
      </c>
      <c r="I20" s="164" t="s">
        <v>1433</v>
      </c>
      <c r="J20" s="25">
        <f ca="1">ROUND(M20*M21/10000,2)</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18</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1813"/>
      <c r="F22" s="26"/>
      <c r="G22" s="1846"/>
      <c r="H22" s="1197" t="s">
        <v>1036</v>
      </c>
      <c r="I22" s="347" t="s">
        <v>1441</v>
      </c>
      <c r="J22" s="24">
        <f ca="1">ROUND(J14*M22,1)</f>
        <v>20.399999999999999</v>
      </c>
      <c r="K22" s="1793"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ROUND(J13*M23,1)</f>
        <v>1.3</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1385</v>
      </c>
      <c r="I24" s="1336" t="s">
        <v>1431</v>
      </c>
      <c r="J24" s="1337">
        <f ca="1">ROUND(J5*M24,1)</f>
        <v>12.1</v>
      </c>
      <c r="K24" s="1338" t="s">
        <v>1451</v>
      </c>
      <c r="L24" s="1336" t="s">
        <v>1447</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1452</v>
      </c>
      <c r="B25" s="347" t="s">
        <v>1453</v>
      </c>
      <c r="C25" s="24"/>
      <c r="D25" s="140" t="s">
        <v>1454</v>
      </c>
      <c r="E25" s="1813"/>
      <c r="F25" s="26"/>
      <c r="G25" s="1846"/>
      <c r="H25" s="1325" t="s">
        <v>1028</v>
      </c>
      <c r="I25" s="1340" t="s">
        <v>1455</v>
      </c>
      <c r="J25" s="355">
        <f ca="1">J5-J16</f>
        <v>467</v>
      </c>
      <c r="K25" s="1341" t="s">
        <v>1456</v>
      </c>
      <c r="L25" s="1342"/>
      <c r="M25" s="1343"/>
    </row>
    <row r="26" spans="1:37">
      <c r="A26" s="1197" t="s">
        <v>1031</v>
      </c>
      <c r="B26" s="347" t="s">
        <v>1457</v>
      </c>
      <c r="C26" s="24">
        <f ca="1">ROUND((C19+C20)*F26,0)</f>
        <v>157</v>
      </c>
      <c r="D26" s="369" t="s">
        <v>1458</v>
      </c>
      <c r="E26" s="358" t="s">
        <v>1459</v>
      </c>
      <c r="F26" s="357">
        <f ca="1">INDIRECT("'数据-取费表'!q"&amp;$G$1)</f>
        <v>0.15</v>
      </c>
      <c r="G26" s="1846"/>
      <c r="H26" s="344" t="s">
        <v>1029</v>
      </c>
      <c r="I26" s="345" t="s">
        <v>1460</v>
      </c>
      <c r="J26" s="346">
        <f ca="1">IF(J5&lt;&gt;0,ROUND(J25*(1-((1+M28)/(1+M26))^M27)/(M26-M28),0),0)</f>
        <v>5540</v>
      </c>
      <c r="K26" s="370" t="s">
        <v>1461</v>
      </c>
      <c r="L26" s="347" t="s">
        <v>1462</v>
      </c>
      <c r="M26" s="357">
        <f ca="1">INDIRECT("'数据-取费表'!I"&amp;$G$1)</f>
        <v>5.5E-2</v>
      </c>
    </row>
    <row r="27" spans="1:37" ht="18" customHeight="1">
      <c r="A27" s="1197" t="s">
        <v>1033</v>
      </c>
      <c r="B27" s="347" t="s">
        <v>1463</v>
      </c>
      <c r="C27" s="24">
        <f ca="1">ROUND(F21*F26,4)</f>
        <v>3.0000000000000001E-3</v>
      </c>
      <c r="D27" s="369" t="s">
        <v>1464</v>
      </c>
      <c r="E27" s="365"/>
      <c r="F27" s="366"/>
      <c r="G27" s="1846"/>
      <c r="H27" s="349"/>
      <c r="I27" s="350"/>
      <c r="J27" s="351"/>
      <c r="K27" s="378" t="s">
        <v>1465</v>
      </c>
      <c r="L27" s="347" t="s">
        <v>1466</v>
      </c>
      <c r="M27" s="379">
        <f ca="1">INDIRECT("'数据-取费表'!ag"&amp;$G$1)</f>
        <v>15.899999999999999</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0.02</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1360</v>
      </c>
      <c r="D29" s="1338"/>
      <c r="E29" s="1336"/>
      <c r="F29" s="1339"/>
      <c r="G29" s="1849"/>
      <c r="H29" s="380" t="s">
        <v>1030</v>
      </c>
      <c r="I29" s="381" t="s">
        <v>1471</v>
      </c>
      <c r="J29" s="382">
        <f ca="1">ROUND(J26/(1+F40)^F41,0)</f>
        <v>3409</v>
      </c>
      <c r="K29" s="383" t="s">
        <v>1472</v>
      </c>
      <c r="L29" s="384"/>
      <c r="M29" s="385">
        <f ca="1">INDIRECT("'数据-取费表'!k"&amp;$G$1)</f>
        <v>3075.7000000000007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115</v>
      </c>
      <c r="D30" s="1333" t="s">
        <v>1417</v>
      </c>
      <c r="E30" s="1334"/>
      <c r="F30" s="1290"/>
      <c r="G30" s="1846"/>
      <c r="H30" s="741"/>
      <c r="I30" s="742"/>
      <c r="J30" s="743"/>
      <c r="K30" s="744"/>
      <c r="L30" s="745"/>
      <c r="M30" s="746"/>
    </row>
    <row r="31" spans="1:37" ht="18" customHeight="1">
      <c r="A31" s="1197" t="s">
        <v>1032</v>
      </c>
      <c r="B31" s="347" t="s">
        <v>1421</v>
      </c>
      <c r="C31" s="24">
        <f ca="1">ROUND(IF(项目基本情况!B11="自然人",C5*F31,C32+C33+C34),1)</f>
        <v>83.2</v>
      </c>
      <c r="D31" s="1795" t="s">
        <v>1422</v>
      </c>
      <c r="E31" s="1793"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IF(项目基本情况!B11="自然人","——",ROUND(C5*F32/(1+'数据-取费表'!C42),2))</f>
        <v>25.6</v>
      </c>
      <c r="D32" s="1793"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IF(项目基本情况!B11="自然人","——",IF(D33="按租金收入计税",ROUND(C5*F33,2),IF(D33="按房产原值计税",ROUND(C29*F33*0.7,2),INDIRECT("'数据-取费表'!Aj"&amp;$G$1))))</f>
        <v>57.6</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IF(项目基本情况!B11="自然人","——",ROUND(F34*F35/10000,2))</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ROUND(C29*F36,1)</f>
        <v>20.399999999999999</v>
      </c>
      <c r="D36" s="1793"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ROUND(C13*F37,1)</f>
        <v>1.6</v>
      </c>
      <c r="D37" s="1793" t="s">
        <v>1446</v>
      </c>
      <c r="E37" s="347" t="s">
        <v>1447</v>
      </c>
      <c r="F37" s="376">
        <f ca="1">INDIRECT("'数据-取费表'!Al"&amp;$G$1)</f>
        <v>1.5E-3</v>
      </c>
      <c r="G37" s="1846"/>
      <c r="H37" s="1854"/>
      <c r="I37" s="1855"/>
      <c r="J37" s="1856"/>
      <c r="K37" s="747"/>
      <c r="L37" s="1854"/>
      <c r="M37" s="1854"/>
    </row>
    <row r="38" spans="1:18" ht="18" customHeight="1" thickBot="1">
      <c r="A38" s="1335" t="s">
        <v>1385</v>
      </c>
      <c r="B38" s="1336" t="s">
        <v>1431</v>
      </c>
      <c r="C38" s="1337">
        <f ca="1">ROUND(C5*F38,1)</f>
        <v>9.6</v>
      </c>
      <c r="D38" s="1338" t="s">
        <v>1451</v>
      </c>
      <c r="E38" s="1336" t="s">
        <v>1447</v>
      </c>
      <c r="F38" s="1332">
        <f ca="1">INDIRECT("'数据-取费表'!Am"&amp;$G$1)</f>
        <v>0.02</v>
      </c>
      <c r="G38" s="1846"/>
      <c r="H38" s="1854"/>
      <c r="I38" s="1855"/>
      <c r="J38" s="1856"/>
      <c r="K38" s="1860"/>
      <c r="L38" s="1854"/>
      <c r="M38" s="1854"/>
    </row>
    <row r="39" spans="1:18" ht="24.6" customHeight="1" thickTop="1">
      <c r="A39" s="1325" t="s">
        <v>1028</v>
      </c>
      <c r="B39" s="1340" t="s">
        <v>1475</v>
      </c>
      <c r="C39" s="355">
        <f ca="1">C5-C30</f>
        <v>365</v>
      </c>
      <c r="D39" s="1341" t="s">
        <v>1476</v>
      </c>
      <c r="E39" s="1342"/>
      <c r="F39" s="1343"/>
      <c r="G39" s="1846"/>
      <c r="H39" s="1854"/>
      <c r="I39" s="1855"/>
      <c r="J39" s="1856"/>
      <c r="K39" s="1860"/>
      <c r="L39" s="1854"/>
      <c r="M39" s="1854"/>
    </row>
    <row r="40" spans="1:18" ht="18" customHeight="1">
      <c r="A40" s="344" t="s">
        <v>1029</v>
      </c>
      <c r="B40" s="345" t="s">
        <v>1477</v>
      </c>
      <c r="C40" s="346">
        <f ca="1">ROUND(C39*(1-((1+F42)/(1+F40))^F41)/(F40-F42),0)</f>
        <v>2553</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9.07</v>
      </c>
      <c r="G41" s="1846"/>
      <c r="H41" s="728"/>
      <c r="I41" s="1855"/>
      <c r="J41" s="1856"/>
      <c r="K41" s="747"/>
      <c r="L41" s="728"/>
      <c r="M41" s="728"/>
    </row>
    <row r="42" spans="1:18" ht="18" customHeight="1">
      <c r="A42" s="353"/>
      <c r="B42" s="354"/>
      <c r="C42" s="355"/>
      <c r="D42" s="373"/>
      <c r="E42" s="347" t="s">
        <v>1469</v>
      </c>
      <c r="F42" s="357">
        <f ca="1">INDIRECT("'数据-取费表'!v"&amp;$G$1)</f>
        <v>0</v>
      </c>
      <c r="G42" s="1846"/>
      <c r="H42" s="728"/>
      <c r="I42" s="1855"/>
      <c r="J42" s="1856"/>
      <c r="K42" s="747"/>
      <c r="L42" s="728"/>
      <c r="M42" s="728"/>
    </row>
    <row r="43" spans="1:18" ht="18" customHeight="1" thickBot="1">
      <c r="A43" s="380" t="s">
        <v>1030</v>
      </c>
      <c r="B43" s="381" t="s">
        <v>1479</v>
      </c>
      <c r="C43" s="382">
        <f ca="1">ROUND(C40*10000/F43,0)</f>
        <v>8301</v>
      </c>
      <c r="D43" s="383" t="s">
        <v>1480</v>
      </c>
      <c r="E43" s="384" t="s">
        <v>1481</v>
      </c>
      <c r="F43" s="385">
        <f ca="1">INDIRECT("'数据-取费表'!k"&amp;$G$1)</f>
        <v>3075.7000000000007</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1511</v>
      </c>
      <c r="P45" s="1834"/>
      <c r="Q45" s="1834"/>
      <c r="R45" s="1834"/>
    </row>
    <row r="46" spans="1:18" s="1837" customFormat="1" ht="13.5" thickBot="1">
      <c r="A46" s="1865" t="s">
        <v>1512</v>
      </c>
      <c r="C46" s="1866">
        <f ca="1">C68-C40</f>
        <v>354</v>
      </c>
      <c r="D46" s="1867" t="str">
        <f>C2</f>
        <v>万元</v>
      </c>
      <c r="E46" s="1861"/>
      <c r="F46" s="1861"/>
      <c r="I46" s="1868" t="s">
        <v>1513</v>
      </c>
      <c r="J46" s="1869"/>
      <c r="K46" s="1870"/>
      <c r="L46" s="1871" t="str">
        <f ca="1">IF(M47="住宅",0,IF(L48&gt;J51,L60,J60))</f>
        <v>0</v>
      </c>
      <c r="O46" s="1872" t="s">
        <v>1514</v>
      </c>
      <c r="P46" s="1873" t="s">
        <v>1515</v>
      </c>
      <c r="Q46" s="1874" t="s">
        <v>1516</v>
      </c>
      <c r="R46" s="1874" t="s">
        <v>1517</v>
      </c>
    </row>
    <row r="47" spans="1:18" s="1837" customFormat="1" ht="13.5" thickBot="1">
      <c r="A47" s="1161" t="s">
        <v>1388</v>
      </c>
      <c r="B47" s="1193" t="s">
        <v>1389</v>
      </c>
      <c r="C47" s="136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5962</v>
      </c>
      <c r="R47" s="1881" t="s">
        <v>1521</v>
      </c>
    </row>
    <row r="48" spans="1:18" s="1837" customFormat="1" ht="28.5" thickBot="1">
      <c r="A48" s="1356" t="s">
        <v>1132</v>
      </c>
      <c r="B48" s="345" t="s">
        <v>1393</v>
      </c>
      <c r="C48" s="1812">
        <f ca="1">C49+C53+C55</f>
        <v>506</v>
      </c>
      <c r="D48" s="1358"/>
      <c r="E48" s="1359"/>
      <c r="F48" s="1177"/>
      <c r="G48" s="788"/>
      <c r="H48" s="789"/>
      <c r="I48" s="1882" t="s">
        <v>1522</v>
      </c>
      <c r="J48" s="1883" t="s">
        <v>3164</v>
      </c>
      <c r="K48" s="1884" t="s">
        <v>1523</v>
      </c>
      <c r="L48" s="1885">
        <f ca="1">INDIRECT("'数据-取费表'!f"&amp;$G$1)</f>
        <v>24.97</v>
      </c>
      <c r="O48" s="1879" t="s">
        <v>1038</v>
      </c>
      <c r="P48" s="1880" t="s">
        <v>1524</v>
      </c>
      <c r="Q48" s="1881" t="str">
        <f ca="1">J60</f>
        <v>0</v>
      </c>
      <c r="R48" s="1881" t="s">
        <v>1525</v>
      </c>
    </row>
    <row r="49" spans="1:18" s="1837" customFormat="1" ht="13.5" thickBot="1">
      <c r="A49" s="1190" t="s">
        <v>1133</v>
      </c>
      <c r="B49" s="1824" t="s">
        <v>1482</v>
      </c>
      <c r="C49" s="1360">
        <f ca="1">ROUND(F49*F51*F50*(1-F52)/10000,0)</f>
        <v>505</v>
      </c>
      <c r="D49" s="1272" t="s">
        <v>3023</v>
      </c>
      <c r="E49" s="1825" t="s">
        <v>1483</v>
      </c>
      <c r="F49" s="1277">
        <f>租约!D12</f>
        <v>5</v>
      </c>
      <c r="G49" s="1886"/>
      <c r="H49" s="789"/>
      <c r="I49" s="1882" t="s">
        <v>1526</v>
      </c>
      <c r="J49" s="1887">
        <v>2007</v>
      </c>
      <c r="K49" s="1884" t="s">
        <v>1527</v>
      </c>
      <c r="L49" s="1888"/>
      <c r="O49" s="1889" t="s">
        <v>1039</v>
      </c>
      <c r="P49" s="1880" t="s">
        <v>1528</v>
      </c>
      <c r="Q49" s="1881">
        <f ca="1">C29</f>
        <v>1360</v>
      </c>
      <c r="R49" s="1881" t="s">
        <v>1521</v>
      </c>
    </row>
    <row r="50" spans="1:18" s="1837" customFormat="1" ht="13.5" thickBot="1">
      <c r="A50" s="1191"/>
      <c r="B50" s="1194"/>
      <c r="C50" s="1364"/>
      <c r="D50" s="1168"/>
      <c r="E50" s="1273" t="s">
        <v>1398</v>
      </c>
      <c r="F50" s="1274">
        <f ca="1">F7</f>
        <v>3075.7000000000007</v>
      </c>
      <c r="H50" s="789"/>
      <c r="I50" s="1882" t="s">
        <v>1529</v>
      </c>
      <c r="J50" s="1890">
        <f>SUMPRODUCT((I63:I65=J47)*(J62:L62=J48)*(J63:L65))</f>
        <v>60</v>
      </c>
      <c r="K50" s="1884" t="s">
        <v>1530</v>
      </c>
      <c r="L50" s="1888"/>
      <c r="M50" s="1891"/>
      <c r="O50" s="1889" t="s">
        <v>1040</v>
      </c>
      <c r="P50" s="1880" t="s">
        <v>1531</v>
      </c>
      <c r="Q50" s="1892" t="e">
        <f ca="1">J58</f>
        <v>#VALUE!</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4119</v>
      </c>
      <c r="M51" s="1897"/>
      <c r="O51" s="1889" t="s">
        <v>1041</v>
      </c>
      <c r="P51" s="1880" t="s">
        <v>1534</v>
      </c>
      <c r="Q51" s="1892">
        <f>J52</f>
        <v>8.5000000000000006E-2</v>
      </c>
      <c r="R51" s="1881"/>
    </row>
    <row r="52" spans="1:18" s="1837" customFormat="1" ht="13.5" thickBot="1">
      <c r="A52" s="1192"/>
      <c r="B52" s="1194"/>
      <c r="C52" s="1195"/>
      <c r="D52" s="1168"/>
      <c r="E52" s="1196" t="s">
        <v>1400</v>
      </c>
      <c r="F52" s="1271">
        <f>'数据-取费表'!AB6</f>
        <v>0.1</v>
      </c>
      <c r="I52" s="1898" t="s">
        <v>1535</v>
      </c>
      <c r="J52" s="1899">
        <v>8.5000000000000006E-2</v>
      </c>
      <c r="K52" s="1898" t="s">
        <v>1536</v>
      </c>
      <c r="L52" s="1899"/>
      <c r="O52" s="1889" t="s">
        <v>1042</v>
      </c>
      <c r="P52" s="1880" t="s">
        <v>1537</v>
      </c>
      <c r="Q52" s="1881">
        <f ca="1">J53</f>
        <v>24.97</v>
      </c>
      <c r="R52" s="1881" t="s">
        <v>1538</v>
      </c>
    </row>
    <row r="53" spans="1:18" s="1837" customFormat="1" ht="24.75" thickBot="1">
      <c r="A53" s="1401" t="s">
        <v>1134</v>
      </c>
      <c r="B53" s="1826" t="s">
        <v>1401</v>
      </c>
      <c r="C53" s="361">
        <f ca="1">ROUND(IF(F53="押一",C49/12*F11,IF(F53="押二",C49/12*2*F11,IF(F53="押三",C49/12*3*F11,C54*F11))),0)</f>
        <v>1</v>
      </c>
      <c r="D53" s="1819" t="s">
        <v>3030</v>
      </c>
      <c r="E53" s="358" t="s">
        <v>1402</v>
      </c>
      <c r="F53" s="1362" t="s">
        <v>3161</v>
      </c>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5962</v>
      </c>
      <c r="R53" s="1881" t="s">
        <v>1044</v>
      </c>
    </row>
    <row r="54" spans="1:18" s="1837" customFormat="1" ht="13.5" thickBot="1">
      <c r="A54" s="1402"/>
      <c r="B54" s="1820" t="s">
        <v>1380</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1827"/>
      <c r="F55" s="1902"/>
      <c r="I55" s="1905" t="s">
        <v>1543</v>
      </c>
      <c r="J55" s="1906" t="e">
        <f ca="1">ROUND(IF(J47="钢混",J57/J50,1-(1-2%)*(J50-J57)/J50),3)</f>
        <v>#VALUE!</v>
      </c>
      <c r="K55" s="1907" t="s">
        <v>1544</v>
      </c>
      <c r="L55" s="1908" t="s">
        <v>1545</v>
      </c>
      <c r="O55" s="1872" t="s">
        <v>1514</v>
      </c>
      <c r="P55" s="1873" t="s">
        <v>1515</v>
      </c>
      <c r="Q55" s="1874" t="s">
        <v>1516</v>
      </c>
      <c r="R55" s="1874" t="s">
        <v>1517</v>
      </c>
    </row>
    <row r="56" spans="1:18" s="1837" customFormat="1" ht="25.5" thickTop="1" thickBot="1">
      <c r="A56" s="1172">
        <v>2</v>
      </c>
      <c r="B56" s="1173" t="s">
        <v>1406</v>
      </c>
      <c r="C56" s="276">
        <f ca="1">C13</f>
        <v>1088</v>
      </c>
      <c r="D56" s="1909"/>
      <c r="E56" s="1910"/>
      <c r="F56" s="1902"/>
      <c r="I56" s="1911" t="s">
        <v>1546</v>
      </c>
      <c r="J56" s="1912" t="s">
        <v>3153</v>
      </c>
      <c r="K56" s="1882" t="s">
        <v>1547</v>
      </c>
      <c r="L56" s="1885" t="str">
        <f ca="1">IF(L48&lt;J51,"——",L48-J53)</f>
        <v>——</v>
      </c>
      <c r="O56" s="1879" t="s">
        <v>1037</v>
      </c>
      <c r="P56" s="1880" t="s">
        <v>1520</v>
      </c>
      <c r="Q56" s="1881">
        <f ca="1">C40+J29</f>
        <v>5962</v>
      </c>
      <c r="R56" s="1881" t="s">
        <v>1521</v>
      </c>
    </row>
    <row r="57" spans="1:18" s="1837" customFormat="1" ht="24.75" thickBot="1">
      <c r="A57" s="1913"/>
      <c r="B57" s="1165" t="s">
        <v>1470</v>
      </c>
      <c r="C57" s="282">
        <f ca="1">C29</f>
        <v>1360</v>
      </c>
      <c r="D57" s="1914"/>
      <c r="E57" s="1915"/>
      <c r="F57" s="1916"/>
      <c r="I57" s="1917" t="s">
        <v>1548</v>
      </c>
      <c r="J57" s="1918" t="str">
        <f ca="1">IF(OR(M47="住宅",J51&lt;L48,J56="是"),"——",J51-L48)</f>
        <v>——</v>
      </c>
      <c r="K57" s="1882" t="s">
        <v>1549</v>
      </c>
      <c r="L57" s="1885" t="str">
        <f ca="1">IF(L48&lt;J51,"——",IF(L55="比较法",L49,IF(L55="基准地价",L50,L51)))</f>
        <v>——</v>
      </c>
      <c r="O57" s="1879" t="s">
        <v>1038</v>
      </c>
      <c r="P57" s="1880" t="s">
        <v>1550</v>
      </c>
      <c r="Q57" s="1881">
        <f ca="1">L60</f>
        <v>0</v>
      </c>
      <c r="R57" s="1881" t="s">
        <v>1551</v>
      </c>
    </row>
    <row r="58" spans="1:18" s="1837" customFormat="1" ht="24.75" thickBot="1">
      <c r="A58" s="360" t="s">
        <v>1027</v>
      </c>
      <c r="B58" s="1173" t="s">
        <v>1416</v>
      </c>
      <c r="C58" s="361">
        <f ca="1">ROUND(C59+C64+C65+C66,0)</f>
        <v>120</v>
      </c>
      <c r="D58" s="1175" t="s">
        <v>1417</v>
      </c>
      <c r="E58" s="1176"/>
      <c r="F58" s="1177"/>
      <c r="I58" s="1917" t="s">
        <v>1552</v>
      </c>
      <c r="J58" s="1919" t="e">
        <f ca="1">IF(J55&lt;0.4,0.4,J55)</f>
        <v>#VALUE!</v>
      </c>
      <c r="K58" s="1895" t="s">
        <v>1553</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ROUND(IF(项目基本情况!B11="自然人",C48*F59,C60+C61+C62),1)</f>
        <v>87.7</v>
      </c>
      <c r="D59" s="1178" t="s">
        <v>1422</v>
      </c>
      <c r="E59" s="1179" t="s">
        <v>1423</v>
      </c>
      <c r="F59" s="368" t="str">
        <f ca="1">IF(项目基本情况!B11="企业","",IF(INDIRECT("'数据-取费表'!c"&amp;$G$1)="住宅",5%,IF(F49*F50*F51/12/(1+'数据-取费表'!C42)&gt;20000,12%,7%)))</f>
        <v/>
      </c>
      <c r="I59" s="1917" t="s">
        <v>1555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IF(项目基本情况!B11="自然人","——",ROUND(C48*F60/(1+'数据-取费表'!C42),2))</f>
        <v>26.99</v>
      </c>
      <c r="D60" s="1179" t="s">
        <v>1426</v>
      </c>
      <c r="E60" s="1165" t="s">
        <v>1414</v>
      </c>
      <c r="F60" s="377">
        <f t="shared" ref="F60:F66" si="0">F32</f>
        <v>5.6000000000000001E-2</v>
      </c>
      <c r="I60" s="1920" t="s">
        <v>1557</v>
      </c>
      <c r="J60" s="1921" t="str">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1485</v>
      </c>
      <c r="C61" s="24">
        <f ca="1">IF(项目基本情况!B11="自然人","——",IF(D61="按租金收入计税",ROUND(C48*F61,2),IF(D61="按房产原值计税",ROUND(C57*F61*0.7,2),INDIRECT("'数据-取费表'!Aj"&amp;$G$1))))</f>
        <v>60.72</v>
      </c>
      <c r="D61" s="1823" t="s">
        <v>3162</v>
      </c>
      <c r="E61" s="1165" t="s">
        <v>1486</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1488</v>
      </c>
      <c r="C62" s="25">
        <f ca="1">IF(项目基本情况!B11="自然人","——",ROUND(F62*F63/10000,2))</f>
        <v>0</v>
      </c>
      <c r="D62" s="1180" t="s">
        <v>1489</v>
      </c>
      <c r="E62" s="1165" t="s">
        <v>1490</v>
      </c>
      <c r="F62" s="371">
        <f t="shared" si="0"/>
        <v>3</v>
      </c>
      <c r="I62" s="1924" t="s">
        <v>1562</v>
      </c>
      <c r="J62" s="1925" t="s">
        <v>1563</v>
      </c>
      <c r="K62" s="1925" t="s">
        <v>1564</v>
      </c>
      <c r="L62" s="1925" t="s">
        <v>1565</v>
      </c>
      <c r="M62" s="1926" t="s">
        <v>1566</v>
      </c>
      <c r="O62" s="1879" t="s">
        <v>1043</v>
      </c>
      <c r="P62" s="1880" t="s">
        <v>1567</v>
      </c>
      <c r="Q62" s="1881">
        <f ca="1">Q56+Q57</f>
        <v>5962</v>
      </c>
      <c r="R62" s="1881" t="s">
        <v>1044</v>
      </c>
    </row>
    <row r="63" spans="1:18" s="1837" customFormat="1" ht="13.5" thickBot="1">
      <c r="A63" s="372"/>
      <c r="B63" s="1171"/>
      <c r="C63" s="29"/>
      <c r="D63" s="1181"/>
      <c r="E63" s="1165"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1492</v>
      </c>
      <c r="B64" s="1165" t="s">
        <v>1493</v>
      </c>
      <c r="C64" s="24">
        <f ca="1">ROUND(C57*F64,1)</f>
        <v>20.399999999999999</v>
      </c>
      <c r="D64" s="1179" t="s">
        <v>1494</v>
      </c>
      <c r="E64" s="1165"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ROUND(C56*F65,1)</f>
        <v>1.6</v>
      </c>
      <c r="D65" s="1179" t="s">
        <v>1446</v>
      </c>
      <c r="E65" s="1165" t="s">
        <v>1447</v>
      </c>
      <c r="F65" s="376">
        <f t="shared" ca="1" si="0"/>
        <v>1.5E-3</v>
      </c>
      <c r="I65" s="1924" t="s">
        <v>1571</v>
      </c>
      <c r="J65" s="1925">
        <v>40</v>
      </c>
      <c r="K65" s="1925">
        <v>30</v>
      </c>
      <c r="L65" s="1925">
        <v>50</v>
      </c>
      <c r="M65" s="1927">
        <v>0.02</v>
      </c>
      <c r="O65" s="1879" t="s">
        <v>1037</v>
      </c>
      <c r="P65" s="1880" t="s">
        <v>1572</v>
      </c>
      <c r="Q65" s="1881">
        <f ca="1">C40+J29</f>
        <v>5962</v>
      </c>
      <c r="R65" s="1881" t="s">
        <v>1521</v>
      </c>
    </row>
    <row r="66" spans="1:18" s="1837" customFormat="1" ht="16.5" thickBot="1">
      <c r="A66" s="1197" t="s">
        <v>1496</v>
      </c>
      <c r="B66" s="1165" t="s">
        <v>1431</v>
      </c>
      <c r="C66" s="24">
        <f ca="1">ROUND(C48*F66,1)</f>
        <v>10.1</v>
      </c>
      <c r="D66" s="1179" t="s">
        <v>1497</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386</v>
      </c>
      <c r="D67" s="1178" t="s">
        <v>1456</v>
      </c>
      <c r="E67" s="1183"/>
      <c r="F67" s="1184"/>
      <c r="O67" s="1889" t="s">
        <v>1039</v>
      </c>
      <c r="P67" s="1880" t="s">
        <v>1554</v>
      </c>
      <c r="Q67" s="1928">
        <f ca="1">L51</f>
        <v>4119</v>
      </c>
      <c r="R67" s="1881" t="s">
        <v>1574</v>
      </c>
    </row>
    <row r="68" spans="1:18" s="1837" customFormat="1" ht="16.5" thickBot="1">
      <c r="A68" s="1162" t="s">
        <v>1029</v>
      </c>
      <c r="B68" s="1163" t="s">
        <v>1477</v>
      </c>
      <c r="C68" s="346">
        <f ca="1">ROUND(C67*(1-((1+F70)/(1+F68))^F69)/(F68-F70),0)</f>
        <v>2907</v>
      </c>
      <c r="D68" s="1180" t="s">
        <v>1461</v>
      </c>
      <c r="E68" s="1165" t="s">
        <v>1462</v>
      </c>
      <c r="F68" s="357">
        <f ca="1">F40</f>
        <v>5.5E-2</v>
      </c>
      <c r="O68" s="1889" t="s">
        <v>1040</v>
      </c>
      <c r="P68" s="1929" t="s">
        <v>1575</v>
      </c>
      <c r="Q68" s="1881">
        <f ca="1">ROUND(Q69-Q70*Q71,0)</f>
        <v>278</v>
      </c>
      <c r="R68" s="1881" t="s">
        <v>1048</v>
      </c>
    </row>
    <row r="69" spans="1:18" s="1837" customFormat="1" ht="13.5" thickBot="1">
      <c r="A69" s="1166"/>
      <c r="B69" s="1167"/>
      <c r="C69" s="351"/>
      <c r="D69" s="1185" t="s">
        <v>1465</v>
      </c>
      <c r="E69" s="1165" t="s">
        <v>1466</v>
      </c>
      <c r="F69" s="379">
        <f ca="1">F41</f>
        <v>9.07</v>
      </c>
      <c r="O69" s="1889" t="s">
        <v>1045</v>
      </c>
      <c r="P69" s="1929" t="s">
        <v>1576</v>
      </c>
      <c r="Q69" s="1881">
        <f ca="1">C39</f>
        <v>365</v>
      </c>
      <c r="R69" s="1881" t="s">
        <v>1521</v>
      </c>
    </row>
    <row r="70" spans="1:18" s="1837" customFormat="1" ht="13.5" thickBot="1">
      <c r="A70" s="1169"/>
      <c r="B70" s="1170"/>
      <c r="C70" s="355"/>
      <c r="D70" s="1181"/>
      <c r="E70" s="1165" t="s">
        <v>1469</v>
      </c>
      <c r="F70" s="3032">
        <f>'数据-取费表'!V7</f>
        <v>0.02</v>
      </c>
      <c r="O70" s="1889" t="s">
        <v>1046</v>
      </c>
      <c r="P70" s="1929" t="s">
        <v>1577</v>
      </c>
      <c r="Q70" s="1881">
        <f ca="1">C13</f>
        <v>1088</v>
      </c>
      <c r="R70" s="1881" t="s">
        <v>1521</v>
      </c>
    </row>
    <row r="71" spans="1:18" s="1837" customFormat="1" ht="13.5" thickBot="1">
      <c r="A71" s="1186" t="s">
        <v>1030</v>
      </c>
      <c r="B71" s="1187" t="s">
        <v>1479</v>
      </c>
      <c r="C71" s="382">
        <f ca="1">ROUND(C68*10000/F71,0)</f>
        <v>9452</v>
      </c>
      <c r="D71" s="1188" t="s">
        <v>1480</v>
      </c>
      <c r="E71" s="1189" t="s">
        <v>1481</v>
      </c>
      <c r="F71" s="385">
        <f ca="1">F43</f>
        <v>3075.7000000000007</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87</v>
      </c>
      <c r="D75" s="1837"/>
      <c r="E75" s="1837"/>
      <c r="F75" s="1837"/>
      <c r="K75" s="1863"/>
      <c r="L75" s="1837"/>
      <c r="O75" s="1879" t="s">
        <v>1043</v>
      </c>
      <c r="P75" s="1880" t="s">
        <v>1541</v>
      </c>
      <c r="Q75" s="1881">
        <f ca="1">Q65+Q66</f>
        <v>5962</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0.76200000000000001</v>
      </c>
    </row>
    <row r="80" spans="1:18">
      <c r="B80" s="386" t="s">
        <v>1503</v>
      </c>
      <c r="C80" s="318">
        <f ca="1">ROUND(C75/C39,3)</f>
        <v>0.23799999999999999</v>
      </c>
    </row>
    <row r="81" spans="2:3">
      <c r="B81" s="314" t="s">
        <v>1504</v>
      </c>
      <c r="C81" s="282"/>
    </row>
    <row r="82" spans="2:3">
      <c r="B82" s="317" t="s">
        <v>1505</v>
      </c>
      <c r="C82" s="319">
        <f ca="1">1-C83</f>
        <v>0.57400000000000007</v>
      </c>
    </row>
    <row r="83" spans="2:3">
      <c r="B83" s="317" t="s">
        <v>1506</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3203</v>
      </c>
      <c r="D1" s="1815" t="s">
        <v>70</v>
      </c>
      <c r="E1" s="1816" t="s">
        <v>1379</v>
      </c>
      <c r="F1" s="1279">
        <f ca="1">J53</f>
        <v>24.97</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1582</v>
      </c>
      <c r="B2" s="1839">
        <f ca="1">ROUND(D2/10000,0)</f>
        <v>24</v>
      </c>
      <c r="C2" s="1840" t="s">
        <v>1583</v>
      </c>
      <c r="D2" s="1933">
        <f ca="1">C40+J29+L46</f>
        <v>236765</v>
      </c>
      <c r="E2" s="1841" t="s">
        <v>1584</v>
      </c>
      <c r="F2" s="1842"/>
      <c r="G2" s="1843"/>
      <c r="H2" s="1835"/>
      <c r="I2" s="1835"/>
      <c r="J2" s="1835"/>
      <c r="K2" s="1836"/>
      <c r="L2" s="1835"/>
      <c r="M2" s="1835"/>
    </row>
    <row r="3" spans="1:37" ht="18" customHeight="1" thickBot="1">
      <c r="A3" s="1844" t="s">
        <v>1585</v>
      </c>
      <c r="B3" s="1845">
        <f ca="1">IF(ISERROR(D2/F43),0,ROUND(D2/F43,0))</f>
        <v>11850</v>
      </c>
      <c r="C3" s="1840" t="s">
        <v>1586</v>
      </c>
      <c r="D3" s="1840"/>
      <c r="E3" s="1841"/>
      <c r="F3" s="1842"/>
      <c r="G3" s="1843"/>
      <c r="H3" s="740"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8">
        <f ca="1">C6+C10+C12</f>
        <v>19739</v>
      </c>
      <c r="D5" s="1817" t="s">
        <v>1593</v>
      </c>
      <c r="E5" s="1289"/>
      <c r="F5" s="1290"/>
      <c r="G5" s="1846"/>
      <c r="H5" s="344">
        <v>1</v>
      </c>
      <c r="I5" s="345" t="s">
        <v>1592</v>
      </c>
      <c r="J5" s="1288">
        <f ca="1">J6+J10+J12</f>
        <v>0</v>
      </c>
      <c r="K5" s="1817" t="s">
        <v>1593</v>
      </c>
      <c r="L5" s="1289"/>
      <c r="M5" s="1290"/>
    </row>
    <row r="6" spans="1:37" ht="18" customHeight="1">
      <c r="A6" s="1287" t="s">
        <v>1032</v>
      </c>
      <c r="B6" s="3360" t="s">
        <v>1395</v>
      </c>
      <c r="C6" s="1292">
        <f ca="1">ROUND(F6*F8*F7*(1-F9),0)</f>
        <v>19690</v>
      </c>
      <c r="D6" s="164" t="s">
        <v>3019</v>
      </c>
      <c r="E6" s="347" t="s">
        <v>1397</v>
      </c>
      <c r="F6" s="348">
        <f ca="1">INDIRECT("'数据-取费表'!u"&amp;$G$1)</f>
        <v>3</v>
      </c>
      <c r="G6" s="1846"/>
      <c r="H6" s="1287" t="s">
        <v>1032</v>
      </c>
      <c r="I6" s="3360" t="s">
        <v>1395</v>
      </c>
      <c r="J6" s="346">
        <f ca="1">ROUND(M6*M8*M7*(1-M9),0)</f>
        <v>0</v>
      </c>
      <c r="K6" s="1829" t="s">
        <v>3020</v>
      </c>
      <c r="L6" s="347" t="s">
        <v>1397</v>
      </c>
      <c r="M6" s="348">
        <f ca="1">INDIRECT("'数据-取费表'!z"&amp;$G$1)</f>
        <v>0</v>
      </c>
    </row>
    <row r="7" spans="1:37" ht="18" customHeight="1">
      <c r="A7" s="1291"/>
      <c r="B7" s="3361"/>
      <c r="C7" s="1293"/>
      <c r="D7" s="352"/>
      <c r="E7" s="1294" t="s">
        <v>1398</v>
      </c>
      <c r="F7" s="348">
        <f ca="1">IF(INDIRECT("'数据-取费表'!ah"&amp;$G$1)="",INDIRECT("'数据-取费表'!k"&amp;$G$1),INDIRECT("'数据-取费表'!ah"&amp;$G$1))</f>
        <v>19.98</v>
      </c>
      <c r="G7" s="1846"/>
      <c r="H7" s="349"/>
      <c r="I7" s="3361"/>
      <c r="J7" s="351"/>
      <c r="K7" s="352"/>
      <c r="L7" s="347" t="s">
        <v>1398</v>
      </c>
      <c r="M7" s="348">
        <f ca="1">F7</f>
        <v>19.98</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0.1</v>
      </c>
      <c r="G9" s="1846"/>
      <c r="H9" s="349"/>
      <c r="I9" s="3362"/>
      <c r="J9" s="351"/>
      <c r="K9" s="352"/>
      <c r="L9" s="358" t="s">
        <v>1400</v>
      </c>
      <c r="M9" s="359">
        <f ca="1">INDIRECT("'数据-取费表'!ab"&amp;$G$1)</f>
        <v>0</v>
      </c>
    </row>
    <row r="10" spans="1:37" ht="18" customHeight="1">
      <c r="A10" s="1287" t="s">
        <v>1036</v>
      </c>
      <c r="B10" s="1818" t="s">
        <v>1401</v>
      </c>
      <c r="C10" s="361">
        <f ca="1">ROUND(IF(F10="押一",C6/12*F11,IF(F10="押二",C6/12*2*F11,IF(F10="押三",C6/12*3*F11,C11*F11))),0)</f>
        <v>49</v>
      </c>
      <c r="D10" s="1819" t="s">
        <v>3030</v>
      </c>
      <c r="E10" s="358" t="s">
        <v>1402</v>
      </c>
      <c r="F10" s="1362" t="s">
        <v>3161</v>
      </c>
      <c r="G10" s="1846"/>
      <c r="H10" s="1287" t="s">
        <v>1036</v>
      </c>
      <c r="I10" s="1818" t="s">
        <v>1401</v>
      </c>
      <c r="J10" s="346">
        <f ca="1">ROUND(IF(M10="押一",J6/12*M11,IF(M10="押二",J6/12*2*M11,IF(M10="押三",J6/12*3*M11,J11*M11))),0)</f>
        <v>0</v>
      </c>
      <c r="K10" s="1830" t="s">
        <v>3032</v>
      </c>
      <c r="L10" s="358" t="s">
        <v>1402</v>
      </c>
      <c r="M10" s="1362"/>
    </row>
    <row r="11" spans="1:37" ht="18" customHeight="1">
      <c r="A11" s="353"/>
      <c r="B11" s="1820" t="s">
        <v>1594</v>
      </c>
      <c r="C11" s="1174"/>
      <c r="D11" s="352"/>
      <c r="E11" s="358" t="s">
        <v>1404</v>
      </c>
      <c r="F11" s="359">
        <f ca="1">'数据-取费表'!B39</f>
        <v>1.4999999999999999E-2</v>
      </c>
      <c r="G11" s="1846"/>
      <c r="H11" s="1295"/>
      <c r="I11" s="1820" t="s">
        <v>1595</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67546</v>
      </c>
      <c r="D13" s="1327" t="s">
        <v>1407</v>
      </c>
      <c r="E13" s="1327" t="s">
        <v>1408</v>
      </c>
      <c r="F13" s="1328">
        <f ca="1">INDIRECT("'数据-取费表'!y"&amp;$G$1)</f>
        <v>0.8</v>
      </c>
      <c r="G13" s="1846"/>
      <c r="H13" s="1325">
        <v>2</v>
      </c>
      <c r="I13" s="1326" t="s">
        <v>1406</v>
      </c>
      <c r="J13" s="1286">
        <f ca="1">ROUND(J14*J15,0)</f>
        <v>0</v>
      </c>
      <c r="K13" s="1333" t="s">
        <v>1407</v>
      </c>
      <c r="L13" s="1847"/>
      <c r="M13" s="1848"/>
    </row>
    <row r="14" spans="1:37" ht="18" customHeight="1">
      <c r="A14" s="1197" t="s">
        <v>1031</v>
      </c>
      <c r="B14" s="347" t="s">
        <v>1409</v>
      </c>
      <c r="C14" s="363">
        <f ca="1">ROUND(INDIRECT("'数据-取费表'!l"&amp;$G$1)*F43+'数据-取费表'!L14*INDIRECT("'数据-取费表'!S"&amp;$G$1),0)</f>
        <v>59940</v>
      </c>
      <c r="D14" s="1795" t="s">
        <v>1410</v>
      </c>
      <c r="E14" s="1789"/>
      <c r="F14" s="364"/>
      <c r="G14" s="1846"/>
      <c r="H14" s="1197" t="s">
        <v>1032</v>
      </c>
      <c r="I14" s="347" t="s">
        <v>1411</v>
      </c>
      <c r="J14" s="24">
        <f ca="1">C29</f>
        <v>84433</v>
      </c>
      <c r="K14" s="15"/>
      <c r="L14" s="975"/>
      <c r="M14" s="976"/>
    </row>
    <row r="15" spans="1:37" s="1853" customFormat="1" ht="18" customHeight="1" thickBot="1">
      <c r="A15" s="1197" t="s">
        <v>1033</v>
      </c>
      <c r="B15" s="347" t="s">
        <v>1412</v>
      </c>
      <c r="C15" s="24">
        <f ca="1">ROUND(C14*F15,0)</f>
        <v>1798</v>
      </c>
      <c r="D15" s="365" t="s">
        <v>1413</v>
      </c>
      <c r="E15" s="365" t="s">
        <v>1414</v>
      </c>
      <c r="F15" s="366">
        <f>'数据-取费表'!B33</f>
        <v>0.03</v>
      </c>
      <c r="G15" s="1849"/>
      <c r="H15" s="1335" t="s">
        <v>1036</v>
      </c>
      <c r="I15" s="1336" t="s">
        <v>1408</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ROUND(INDIRECT("'数据-取费表'!l"&amp;$G$1)*F43*F16,0)</f>
        <v>0</v>
      </c>
      <c r="D16" s="347" t="s">
        <v>1413</v>
      </c>
      <c r="E16" s="347" t="s">
        <v>1414</v>
      </c>
      <c r="F16" s="367">
        <f ca="1">IF(INDIRECT("'数据-取费表'!c"&amp;$G$1)="住宅",'数据-取费表'!B34,0)</f>
        <v>0</v>
      </c>
      <c r="G16" s="1846"/>
      <c r="H16" s="1325" t="s">
        <v>1027</v>
      </c>
      <c r="I16" s="1326" t="s">
        <v>1416</v>
      </c>
      <c r="J16" s="355">
        <f ca="1">ROUND(J17+J22+J23+J24,0)</f>
        <v>1975</v>
      </c>
      <c r="K16" s="1333" t="s">
        <v>1417</v>
      </c>
      <c r="L16" s="1334"/>
      <c r="M16" s="1290"/>
    </row>
    <row r="17" spans="1:37" s="1853" customFormat="1" ht="18" customHeight="1">
      <c r="A17" s="1197" t="s">
        <v>1382</v>
      </c>
      <c r="B17" s="347" t="s">
        <v>1418</v>
      </c>
      <c r="C17" s="24">
        <f ca="1">ROUND(F17*(F43+INDIRECT("'数据-取费表'!S"&amp;$G$1)),0)</f>
        <v>3996</v>
      </c>
      <c r="D17" s="347" t="s">
        <v>1419</v>
      </c>
      <c r="E17" s="347" t="s">
        <v>1420</v>
      </c>
      <c r="F17" s="26">
        <f>'数据-取费表'!B35</f>
        <v>200</v>
      </c>
      <c r="G17" s="1849"/>
      <c r="H17" s="1197" t="s">
        <v>1032</v>
      </c>
      <c r="I17" s="347" t="s">
        <v>1421</v>
      </c>
      <c r="J17" s="24">
        <f ca="1">ROUND(IF(项目基本情况!B11="自然人",J5*M17,J18+J19+J20),0)</f>
        <v>709</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899</v>
      </c>
      <c r="D18" s="347" t="s">
        <v>1413</v>
      </c>
      <c r="E18" s="347" t="s">
        <v>1414</v>
      </c>
      <c r="F18" s="367">
        <f>'数据-取费表'!B36</f>
        <v>1.4999999999999999E-2</v>
      </c>
      <c r="G18" s="1849"/>
      <c r="H18" s="1197" t="s">
        <v>1031</v>
      </c>
      <c r="I18" s="347" t="s">
        <v>1425</v>
      </c>
      <c r="J18" s="24">
        <f ca="1">ROUND(J5*M18/(1+'数据-取费表'!C42),0)</f>
        <v>0</v>
      </c>
      <c r="K18" s="1793"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66633</v>
      </c>
      <c r="D19" s="140" t="s">
        <v>1428</v>
      </c>
      <c r="E19" s="1813"/>
      <c r="F19" s="26"/>
      <c r="G19" s="1846"/>
      <c r="H19" s="1197" t="s">
        <v>1033</v>
      </c>
      <c r="I19" s="347" t="s">
        <v>1429</v>
      </c>
      <c r="J19" s="24">
        <f ca="1">IF(K19="按租金收入计税",ROUND(J5*M19,0),ROUND(C29*M19*0.7,0))</f>
        <v>709</v>
      </c>
      <c r="K19" s="1823" t="s">
        <v>1430</v>
      </c>
      <c r="L19" s="347" t="s">
        <v>1414</v>
      </c>
      <c r="M19" s="367">
        <f>IF(K19="按租金收入计税",'数据-取费表'!B51,'数据-取费表'!B50)</f>
        <v>1.2E-2</v>
      </c>
    </row>
    <row r="20" spans="1:37" s="1853" customFormat="1" ht="18" customHeight="1">
      <c r="A20" s="1197" t="s">
        <v>1036</v>
      </c>
      <c r="B20" s="347" t="s">
        <v>1431</v>
      </c>
      <c r="C20" s="24">
        <f ca="1">ROUND(C19*F20,0)</f>
        <v>1333</v>
      </c>
      <c r="D20" s="369" t="s">
        <v>1432</v>
      </c>
      <c r="E20" s="347" t="s">
        <v>1414</v>
      </c>
      <c r="F20" s="367">
        <f>'数据-取费表'!B37</f>
        <v>0.02</v>
      </c>
      <c r="G20" s="1849"/>
      <c r="H20" s="1197" t="s">
        <v>1381</v>
      </c>
      <c r="I20" s="164" t="s">
        <v>1433</v>
      </c>
      <c r="J20" s="25">
        <f ca="1">ROUND(M20*M21,0)</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1813"/>
      <c r="F22" s="26"/>
      <c r="G22" s="1846"/>
      <c r="H22" s="1197" t="s">
        <v>1036</v>
      </c>
      <c r="I22" s="347" t="s">
        <v>1441</v>
      </c>
      <c r="J22" s="24">
        <f ca="1">ROUND(J14*M22,0)</f>
        <v>1266</v>
      </c>
      <c r="K22" s="1793"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ROUND(J13*M23,0)</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1385</v>
      </c>
      <c r="I24" s="1336" t="s">
        <v>1431</v>
      </c>
      <c r="J24" s="1337">
        <f ca="1">ROUND(J5*M24,0)</f>
        <v>0</v>
      </c>
      <c r="K24" s="1338" t="s">
        <v>1451</v>
      </c>
      <c r="L24" s="1336" t="s">
        <v>1447</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1452</v>
      </c>
      <c r="B25" s="347" t="s">
        <v>1453</v>
      </c>
      <c r="C25" s="24"/>
      <c r="D25" s="140" t="s">
        <v>1454</v>
      </c>
      <c r="E25" s="1813"/>
      <c r="F25" s="26"/>
      <c r="G25" s="1846"/>
      <c r="H25" s="1325" t="s">
        <v>1028</v>
      </c>
      <c r="I25" s="1340" t="s">
        <v>1455</v>
      </c>
      <c r="J25" s="355">
        <f ca="1">J5-J16</f>
        <v>-1975</v>
      </c>
      <c r="K25" s="1341" t="s">
        <v>1456</v>
      </c>
      <c r="L25" s="1342"/>
      <c r="M25" s="1343"/>
    </row>
    <row r="26" spans="1:37" ht="18" customHeight="1">
      <c r="A26" s="1197" t="s">
        <v>1031</v>
      </c>
      <c r="B26" s="347" t="s">
        <v>1457</v>
      </c>
      <c r="C26" s="24">
        <f ca="1">ROUND((C19+C20)*F26,0)</f>
        <v>6797</v>
      </c>
      <c r="D26" s="369" t="s">
        <v>1458</v>
      </c>
      <c r="E26" s="358" t="s">
        <v>1459</v>
      </c>
      <c r="F26" s="357">
        <f ca="1">INDIRECT("'数据-取费表'!q"&amp;$G$1)</f>
        <v>0.1</v>
      </c>
      <c r="G26" s="1846"/>
      <c r="H26" s="344" t="s">
        <v>1029</v>
      </c>
      <c r="I26" s="345" t="s">
        <v>1460</v>
      </c>
      <c r="J26" s="346">
        <f ca="1">IF(J5&lt;&gt;0,ROUND(J25*(1-((1+M28)/(1+M26))^M27)/(M26-M28),0),0)</f>
        <v>0</v>
      </c>
      <c r="K26" s="370" t="s">
        <v>1461</v>
      </c>
      <c r="L26" s="347" t="s">
        <v>1462</v>
      </c>
      <c r="M26" s="357">
        <f ca="1">INDIRECT("'数据-取费表'!I"&amp;$G$1)</f>
        <v>5.5E-2</v>
      </c>
    </row>
    <row r="27" spans="1:37" ht="18" customHeight="1">
      <c r="A27" s="1197" t="s">
        <v>1033</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84433</v>
      </c>
      <c r="D29" s="1338"/>
      <c r="E29" s="1336"/>
      <c r="F29" s="1339"/>
      <c r="G29" s="1849"/>
      <c r="H29" s="380" t="s">
        <v>1030</v>
      </c>
      <c r="I29" s="381" t="s">
        <v>1471</v>
      </c>
      <c r="J29" s="382">
        <f ca="1">ROUND(J26/(1+F40)^F41,0)</f>
        <v>0</v>
      </c>
      <c r="K29" s="383" t="s">
        <v>1472</v>
      </c>
      <c r="L29" s="384"/>
      <c r="M29" s="385">
        <f ca="1">INDIRECT("'数据-取费表'!k"&amp;$G$1)</f>
        <v>19.98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5184</v>
      </c>
      <c r="D30" s="1333" t="s">
        <v>1417</v>
      </c>
      <c r="E30" s="1334"/>
      <c r="F30" s="1290"/>
      <c r="G30" s="1846"/>
      <c r="H30" s="741"/>
      <c r="I30" s="742"/>
      <c r="J30" s="743"/>
      <c r="K30" s="744"/>
      <c r="L30" s="745"/>
      <c r="M30" s="746"/>
    </row>
    <row r="31" spans="1:37" ht="18" customHeight="1">
      <c r="A31" s="1197" t="s">
        <v>1032</v>
      </c>
      <c r="B31" s="347" t="s">
        <v>1421</v>
      </c>
      <c r="C31" s="24">
        <f ca="1">ROUND(IF(项目基本情况!B11="自然人",C5*F31,C32+C33+C34),0)</f>
        <v>3422</v>
      </c>
      <c r="D31" s="1795" t="s">
        <v>1422</v>
      </c>
      <c r="E31" s="1793"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IF(项目基本情况!B11="自然人","——",ROUND(C5*F32/(1+'数据-取费表'!C42),0))</f>
        <v>1053</v>
      </c>
      <c r="D32" s="1793"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IF(项目基本情况!B11="自然人","——",IF(D33="按租金收入计税",ROUND(C5*F33,0),IF(D33="按房产原值计税",ROUND(C29*F33*0.7,0),INDIRECT("'数据-取费表'!Aj"&amp;$G$1))))</f>
        <v>2369</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ROUND(C29*F36,0)</f>
        <v>1266</v>
      </c>
      <c r="D36" s="1793"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ROUND(C13*F37,0)</f>
        <v>101</v>
      </c>
      <c r="D37" s="1793" t="s">
        <v>1446</v>
      </c>
      <c r="E37" s="347" t="s">
        <v>1447</v>
      </c>
      <c r="F37" s="376">
        <f ca="1">INDIRECT("'数据-取费表'!Al"&amp;$G$1)</f>
        <v>1.5E-3</v>
      </c>
      <c r="G37" s="1846"/>
      <c r="H37" s="1854"/>
      <c r="I37" s="1855"/>
      <c r="J37" s="1856"/>
      <c r="K37" s="747"/>
      <c r="L37" s="1854"/>
      <c r="M37" s="1854"/>
    </row>
    <row r="38" spans="1:18" ht="18" customHeight="1" thickBot="1">
      <c r="A38" s="1335" t="s">
        <v>1385</v>
      </c>
      <c r="B38" s="1336" t="s">
        <v>1431</v>
      </c>
      <c r="C38" s="1337">
        <f ca="1">ROUND(C5*F38,1)</f>
        <v>394.8</v>
      </c>
      <c r="D38" s="1338" t="s">
        <v>1451</v>
      </c>
      <c r="E38" s="1336" t="s">
        <v>1447</v>
      </c>
      <c r="F38" s="1332">
        <f ca="1">INDIRECT("'数据-取费表'!Am"&amp;$G$1)</f>
        <v>0.02</v>
      </c>
      <c r="G38" s="1846"/>
      <c r="H38" s="1854"/>
      <c r="I38" s="1855"/>
      <c r="J38" s="1856"/>
      <c r="K38" s="1860"/>
      <c r="L38" s="1854"/>
      <c r="M38" s="1854"/>
    </row>
    <row r="39" spans="1:18" ht="24.6" customHeight="1" thickTop="1">
      <c r="A39" s="1325" t="s">
        <v>1028</v>
      </c>
      <c r="B39" s="1340" t="s">
        <v>1475</v>
      </c>
      <c r="C39" s="355">
        <f ca="1">C5-C30</f>
        <v>14555</v>
      </c>
      <c r="D39" s="1341" t="s">
        <v>1476</v>
      </c>
      <c r="E39" s="1342"/>
      <c r="F39" s="1343"/>
      <c r="G39" s="1846"/>
      <c r="H39" s="1854"/>
      <c r="I39" s="1855"/>
      <c r="J39" s="1856"/>
      <c r="K39" s="1860"/>
      <c r="L39" s="1854"/>
      <c r="M39" s="1854"/>
    </row>
    <row r="40" spans="1:18" ht="18" customHeight="1">
      <c r="A40" s="344" t="s">
        <v>1029</v>
      </c>
      <c r="B40" s="345" t="s">
        <v>1477</v>
      </c>
      <c r="C40" s="346">
        <f ca="1">ROUND(C39*(1-((1+F42)/(1+F40))^F41)/(F40-F42),0)</f>
        <v>236765</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24.97</v>
      </c>
      <c r="G41" s="1846"/>
      <c r="H41" s="728"/>
      <c r="I41" s="1855"/>
      <c r="J41" s="1856"/>
      <c r="K41" s="747"/>
      <c r="L41" s="728"/>
      <c r="M41" s="728"/>
    </row>
    <row r="42" spans="1:18" ht="18" customHeight="1">
      <c r="A42" s="353"/>
      <c r="B42" s="354"/>
      <c r="C42" s="355"/>
      <c r="D42" s="373"/>
      <c r="E42" s="347" t="s">
        <v>1469</v>
      </c>
      <c r="F42" s="357">
        <f ca="1">INDIRECT("'数据-取费表'!v"&amp;$G$1)</f>
        <v>0.02</v>
      </c>
      <c r="G42" s="1846"/>
      <c r="H42" s="728"/>
      <c r="I42" s="1855"/>
      <c r="J42" s="1856"/>
      <c r="K42" s="747"/>
      <c r="L42" s="728"/>
      <c r="M42" s="728"/>
    </row>
    <row r="43" spans="1:18" ht="18" customHeight="1" thickBot="1">
      <c r="A43" s="380" t="s">
        <v>1030</v>
      </c>
      <c r="B43" s="381" t="s">
        <v>1479</v>
      </c>
      <c r="C43" s="382">
        <f ca="1">ROUND(C40/F43,0)</f>
        <v>11850</v>
      </c>
      <c r="D43" s="383" t="s">
        <v>1480</v>
      </c>
      <c r="E43" s="384" t="s">
        <v>1481</v>
      </c>
      <c r="F43" s="385">
        <f ca="1">INDIRECT("'数据-取费表'!k"&amp;$G$1)</f>
        <v>19.98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f ca="1">C68-C40</f>
        <v>-374367</v>
      </c>
      <c r="D45" s="1935" t="s">
        <v>1596</v>
      </c>
      <c r="E45" s="1861"/>
      <c r="F45" s="1861"/>
      <c r="O45" s="1864" t="s">
        <v>1511</v>
      </c>
      <c r="P45" s="1834"/>
      <c r="Q45" s="1834"/>
      <c r="R45" s="1834"/>
    </row>
    <row r="46" spans="1:18" s="1837" customFormat="1" ht="13.5" thickBot="1">
      <c r="A46" s="1865" t="s">
        <v>1512</v>
      </c>
      <c r="C46" s="1866">
        <f ca="1">ROUND(C45/10000,0)</f>
        <v>-37</v>
      </c>
      <c r="D46" s="1867" t="str">
        <f>C2</f>
        <v>万元</v>
      </c>
      <c r="I46" s="1868" t="s">
        <v>1513</v>
      </c>
      <c r="J46" s="1869"/>
      <c r="K46" s="1870"/>
      <c r="L46" s="1871" t="str">
        <f ca="1">IF(M47="住宅",0,IF(L48&gt;J51,L60,J60))</f>
        <v>0</v>
      </c>
      <c r="O46" s="1872" t="s">
        <v>1514</v>
      </c>
      <c r="P46" s="1873" t="s">
        <v>1515</v>
      </c>
      <c r="Q46" s="1874" t="s">
        <v>1516</v>
      </c>
      <c r="R46" s="1874" t="s">
        <v>1517</v>
      </c>
    </row>
    <row r="47" spans="1:18" s="1837" customFormat="1" ht="13.5" thickBot="1">
      <c r="A47" s="1161" t="s">
        <v>1388</v>
      </c>
      <c r="B47" s="1193" t="s">
        <v>1389</v>
      </c>
      <c r="C47" s="119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236765</v>
      </c>
      <c r="R47" s="1881" t="s">
        <v>1521</v>
      </c>
    </row>
    <row r="48" spans="1:18" s="1837" customFormat="1" ht="28.5" thickBot="1">
      <c r="A48" s="1356" t="s">
        <v>1132</v>
      </c>
      <c r="B48" s="345" t="s">
        <v>1393</v>
      </c>
      <c r="C48" s="1812">
        <f ca="1">C49+C53+C55</f>
        <v>0</v>
      </c>
      <c r="D48" s="1358"/>
      <c r="E48" s="1359"/>
      <c r="F48" s="1177"/>
      <c r="G48" s="788"/>
      <c r="H48" s="789"/>
      <c r="I48" s="1882" t="s">
        <v>1522</v>
      </c>
      <c r="J48" s="1883" t="s">
        <v>3164</v>
      </c>
      <c r="K48" s="1884" t="s">
        <v>1523</v>
      </c>
      <c r="L48" s="1885">
        <f ca="1">INDIRECT("'数据-取费表'!f"&amp;$G$1)</f>
        <v>24.97</v>
      </c>
      <c r="O48" s="1879" t="s">
        <v>1038</v>
      </c>
      <c r="P48" s="1880" t="s">
        <v>1524</v>
      </c>
      <c r="Q48" s="1881" t="str">
        <f ca="1">J60</f>
        <v>0</v>
      </c>
      <c r="R48" s="1881" t="s">
        <v>1525</v>
      </c>
    </row>
    <row r="49" spans="1:18" s="1837" customFormat="1" ht="13.5" thickBot="1">
      <c r="A49" s="1190" t="s">
        <v>1133</v>
      </c>
      <c r="B49" s="1824" t="s">
        <v>1482</v>
      </c>
      <c r="C49" s="1360">
        <f ca="1">ROUND(F49*F51*F50*(1-F52),0)</f>
        <v>0</v>
      </c>
      <c r="D49" s="1272" t="s">
        <v>1396</v>
      </c>
      <c r="E49" s="1825" t="s">
        <v>1483</v>
      </c>
      <c r="F49" s="1277"/>
      <c r="G49" s="1886"/>
      <c r="H49" s="789"/>
      <c r="I49" s="1882" t="s">
        <v>1526</v>
      </c>
      <c r="J49" s="1887">
        <v>2007</v>
      </c>
      <c r="K49" s="1884" t="s">
        <v>1527</v>
      </c>
      <c r="L49" s="1888"/>
      <c r="O49" s="1889" t="s">
        <v>1039</v>
      </c>
      <c r="P49" s="1880" t="s">
        <v>1528</v>
      </c>
      <c r="Q49" s="1881">
        <f ca="1">C29</f>
        <v>84433</v>
      </c>
      <c r="R49" s="1881" t="s">
        <v>1521</v>
      </c>
    </row>
    <row r="50" spans="1:18" s="1837" customFormat="1" ht="13.5" thickBot="1">
      <c r="A50" s="1191"/>
      <c r="B50" s="1194"/>
      <c r="C50" s="1195"/>
      <c r="D50" s="1168"/>
      <c r="E50" s="1273" t="s">
        <v>1398</v>
      </c>
      <c r="F50" s="1274">
        <f ca="1">F7</f>
        <v>19.98</v>
      </c>
      <c r="H50" s="789"/>
      <c r="I50" s="1882" t="s">
        <v>1529</v>
      </c>
      <c r="J50" s="1890">
        <f>SUMPRODUCT((I63:I65=J47)*(J62:L62=J48)*(J63:L65))</f>
        <v>60</v>
      </c>
      <c r="K50" s="1884" t="s">
        <v>1530</v>
      </c>
      <c r="L50" s="1888"/>
      <c r="M50" s="1891"/>
      <c r="O50" s="1889" t="s">
        <v>1040</v>
      </c>
      <c r="P50" s="1880" t="s">
        <v>1531</v>
      </c>
      <c r="Q50" s="1892" t="e">
        <f ca="1">J58</f>
        <v>#VALUE!</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135608</v>
      </c>
      <c r="M51" s="1897"/>
      <c r="O51" s="1889" t="s">
        <v>1041</v>
      </c>
      <c r="P51" s="1880" t="s">
        <v>1534</v>
      </c>
      <c r="Q51" s="1892">
        <f>J52</f>
        <v>8.5000000000000006E-2</v>
      </c>
      <c r="R51" s="1881"/>
    </row>
    <row r="52" spans="1:18" s="1837" customFormat="1" ht="13.5" thickBot="1">
      <c r="A52" s="1192"/>
      <c r="B52" s="1194"/>
      <c r="C52" s="1195"/>
      <c r="D52" s="1168"/>
      <c r="E52" s="1196" t="s">
        <v>1400</v>
      </c>
      <c r="F52" s="1271"/>
      <c r="I52" s="1898" t="s">
        <v>1535</v>
      </c>
      <c r="J52" s="1899">
        <v>8.5000000000000006E-2</v>
      </c>
      <c r="K52" s="1898" t="s">
        <v>1536</v>
      </c>
      <c r="L52" s="1899"/>
      <c r="O52" s="1889" t="s">
        <v>1042</v>
      </c>
      <c r="P52" s="1880" t="s">
        <v>1537</v>
      </c>
      <c r="Q52" s="1881">
        <f ca="1">J53</f>
        <v>24.97</v>
      </c>
      <c r="R52" s="1881" t="s">
        <v>1538</v>
      </c>
    </row>
    <row r="53" spans="1:18" s="1837" customFormat="1" ht="30.75" customHeight="1" thickBot="1">
      <c r="A53" s="1357" t="s">
        <v>1134</v>
      </c>
      <c r="B53" s="369" t="s">
        <v>1401</v>
      </c>
      <c r="C53" s="361">
        <f ca="1">ROUND(IF(F53="押一",C49/12*F11,IF(F53="押二",C49/12*2*F11,IF(F53="押三",C49/12*3*F11,C54*F11))),0)</f>
        <v>0</v>
      </c>
      <c r="D53" s="1819" t="s">
        <v>3033</v>
      </c>
      <c r="E53" s="358" t="s">
        <v>1402</v>
      </c>
      <c r="F53" s="1362"/>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236765</v>
      </c>
      <c r="R53" s="1881" t="s">
        <v>1044</v>
      </c>
    </row>
    <row r="54" spans="1:18" s="1837" customFormat="1" ht="13.5" thickBot="1">
      <c r="A54" s="1190"/>
      <c r="B54" s="1936" t="s">
        <v>1595</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1827"/>
      <c r="F55" s="1902"/>
      <c r="I55" s="1905" t="s">
        <v>1543</v>
      </c>
      <c r="J55" s="1906" t="e">
        <f ca="1">ROUND(IF(J47="钢混",J57/J50,1-(1-2%)*(J50-J57)/J50),3)</f>
        <v>#VALUE!</v>
      </c>
      <c r="K55" s="1907" t="s">
        <v>1544</v>
      </c>
      <c r="L55" s="1908"/>
      <c r="O55" s="1872" t="s">
        <v>1514</v>
      </c>
      <c r="P55" s="1873" t="s">
        <v>1515</v>
      </c>
      <c r="Q55" s="1874" t="s">
        <v>1516</v>
      </c>
      <c r="R55" s="1874" t="s">
        <v>1517</v>
      </c>
    </row>
    <row r="56" spans="1:18" s="1837" customFormat="1" ht="36" customHeight="1" thickTop="1" thickBot="1">
      <c r="A56" s="1172">
        <v>2</v>
      </c>
      <c r="B56" s="1173" t="s">
        <v>1406</v>
      </c>
      <c r="C56" s="276">
        <f ca="1">C13</f>
        <v>67546</v>
      </c>
      <c r="D56" s="1909"/>
      <c r="E56" s="1910"/>
      <c r="F56" s="1902"/>
      <c r="I56" s="1911" t="s">
        <v>1546</v>
      </c>
      <c r="J56" s="1912" t="s">
        <v>3153</v>
      </c>
      <c r="K56" s="1882" t="s">
        <v>1547</v>
      </c>
      <c r="L56" s="1885" t="str">
        <f ca="1">IF(L48&lt;J51,"——",L48-J51)</f>
        <v>——</v>
      </c>
      <c r="O56" s="1879" t="s">
        <v>1037</v>
      </c>
      <c r="P56" s="1880" t="s">
        <v>1520</v>
      </c>
      <c r="Q56" s="1881">
        <f ca="1">C40+J29</f>
        <v>236765</v>
      </c>
      <c r="R56" s="1881" t="s">
        <v>1521</v>
      </c>
    </row>
    <row r="57" spans="1:18" s="1837" customFormat="1" ht="24.75" thickBot="1">
      <c r="A57" s="1913"/>
      <c r="B57" s="1165" t="s">
        <v>1470</v>
      </c>
      <c r="C57" s="282">
        <f ca="1">C29</f>
        <v>84433</v>
      </c>
      <c r="D57" s="1914"/>
      <c r="E57" s="1915"/>
      <c r="F57" s="1916"/>
      <c r="I57" s="1917" t="s">
        <v>1548</v>
      </c>
      <c r="J57" s="1918" t="str">
        <f ca="1">IF(OR(M47="住宅",J51&lt;L48,J56="是"),"——",J51-L48)</f>
        <v>——</v>
      </c>
      <c r="K57" s="1882" t="s">
        <v>1597</v>
      </c>
      <c r="L57" s="1885" t="str">
        <f ca="1">IF(L48&lt;J51,"——",IF(L55="比较法",L49,IF(L55="基准地价",L50,L51)))</f>
        <v>——</v>
      </c>
      <c r="O57" s="1879" t="s">
        <v>1038</v>
      </c>
      <c r="P57" s="1880" t="s">
        <v>1598</v>
      </c>
      <c r="Q57" s="1881">
        <f ca="1">L60</f>
        <v>0</v>
      </c>
      <c r="R57" s="1881" t="s">
        <v>1599</v>
      </c>
    </row>
    <row r="58" spans="1:18" s="1837" customFormat="1" ht="24.75" thickBot="1">
      <c r="A58" s="360" t="s">
        <v>1027</v>
      </c>
      <c r="B58" s="1173" t="s">
        <v>1416</v>
      </c>
      <c r="C58" s="361">
        <f ca="1">ROUND(C59+C64+C65+C66,0)</f>
        <v>8459</v>
      </c>
      <c r="D58" s="1175" t="s">
        <v>1417</v>
      </c>
      <c r="E58" s="1176"/>
      <c r="F58" s="1177"/>
      <c r="I58" s="1917" t="s">
        <v>1552</v>
      </c>
      <c r="J58" s="1919" t="e">
        <f ca="1">IF(J55&lt;0.4,0.4,J55)</f>
        <v>#VALUE!</v>
      </c>
      <c r="K58" s="1895" t="s">
        <v>1600</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ROUND(IF(项目基本情况!B11="自然人",C48*F59,C60+C61+C62),0)</f>
        <v>7092</v>
      </c>
      <c r="D59" s="1178" t="s">
        <v>1422</v>
      </c>
      <c r="E59" s="1179" t="s">
        <v>1423</v>
      </c>
      <c r="F59" s="368" t="str">
        <f ca="1">IF(项目基本情况!B11="企业","",IF(INDIRECT("'数据-取费表'!c"&amp;$G$1)="住宅",5%,IF(F49*F50*F51/12/(1+'数据-取费表'!C42)&gt;20000,12%,7%)))</f>
        <v/>
      </c>
      <c r="I59" s="1917" t="s">
        <v>1555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IF(项目基本情况!B11="自然人","——",ROUND(C48*F60/(1+'数据-取费表'!C42),0))</f>
        <v>0</v>
      </c>
      <c r="D60" s="1179" t="s">
        <v>1426</v>
      </c>
      <c r="E60" s="1165" t="s">
        <v>1414</v>
      </c>
      <c r="F60" s="377">
        <f t="shared" ref="F60:F66" si="0">F32</f>
        <v>5.6000000000000001E-2</v>
      </c>
      <c r="I60" s="1920" t="s">
        <v>1557</v>
      </c>
      <c r="J60" s="1921" t="str">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1485</v>
      </c>
      <c r="C61" s="24">
        <f ca="1">IF(项目基本情况!B11="自然人","——",IF(D61="按租金收入计税",ROUND(C48*F61,0),IF(D61="按房产原值计税",ROUND(C57*F61*0.7,0),INDIRECT("'数据-取费表'!Aj"&amp;$G$1))))</f>
        <v>7092</v>
      </c>
      <c r="D61" s="1823" t="s">
        <v>1430</v>
      </c>
      <c r="E61" s="1165" t="s">
        <v>1486</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1488</v>
      </c>
      <c r="C62" s="25">
        <f ca="1">IF(项目基本情况!B11="自然人","——",ROUND(F62*F63,0))</f>
        <v>0</v>
      </c>
      <c r="D62" s="1180" t="s">
        <v>1489</v>
      </c>
      <c r="E62" s="1165" t="s">
        <v>1490</v>
      </c>
      <c r="F62" s="371">
        <f t="shared" si="0"/>
        <v>3</v>
      </c>
      <c r="I62" s="1924" t="s">
        <v>1562</v>
      </c>
      <c r="J62" s="1925" t="s">
        <v>1563</v>
      </c>
      <c r="K62" s="1925" t="s">
        <v>1564</v>
      </c>
      <c r="L62" s="1925" t="s">
        <v>1565</v>
      </c>
      <c r="M62" s="1926" t="s">
        <v>1566</v>
      </c>
      <c r="O62" s="1879" t="s">
        <v>1043</v>
      </c>
      <c r="P62" s="1880" t="s">
        <v>1567</v>
      </c>
      <c r="Q62" s="1881">
        <f ca="1">Q56+Q57</f>
        <v>236765</v>
      </c>
      <c r="R62" s="1881" t="s">
        <v>1044</v>
      </c>
    </row>
    <row r="63" spans="1:18" s="1837" customFormat="1" ht="13.5" thickBot="1">
      <c r="A63" s="372"/>
      <c r="B63" s="1171"/>
      <c r="C63" s="29"/>
      <c r="D63" s="1181"/>
      <c r="E63" s="1165"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1492</v>
      </c>
      <c r="B64" s="1165" t="s">
        <v>1493</v>
      </c>
      <c r="C64" s="24">
        <f ca="1">ROUND(C57*F64,0)</f>
        <v>1266</v>
      </c>
      <c r="D64" s="1179" t="s">
        <v>1494</v>
      </c>
      <c r="E64" s="1165"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ROUND(C56*F65,0)</f>
        <v>101</v>
      </c>
      <c r="D65" s="1179" t="s">
        <v>1446</v>
      </c>
      <c r="E65" s="1165" t="s">
        <v>1447</v>
      </c>
      <c r="F65" s="376">
        <f t="shared" ca="1" si="0"/>
        <v>1.5E-3</v>
      </c>
      <c r="I65" s="1924" t="s">
        <v>1571</v>
      </c>
      <c r="J65" s="1925">
        <v>40</v>
      </c>
      <c r="K65" s="1925">
        <v>30</v>
      </c>
      <c r="L65" s="1925">
        <v>50</v>
      </c>
      <c r="M65" s="1927">
        <v>0.02</v>
      </c>
      <c r="O65" s="1879" t="s">
        <v>1037</v>
      </c>
      <c r="P65" s="1880" t="s">
        <v>1572</v>
      </c>
      <c r="Q65" s="1881">
        <f ca="1">C40+J29</f>
        <v>236765</v>
      </c>
      <c r="R65" s="1881" t="s">
        <v>1521</v>
      </c>
    </row>
    <row r="66" spans="1:18" s="1837" customFormat="1" ht="16.5" thickBot="1">
      <c r="A66" s="1197" t="s">
        <v>1496</v>
      </c>
      <c r="B66" s="1165" t="s">
        <v>1431</v>
      </c>
      <c r="C66" s="24">
        <f ca="1">ROUND(C48*F66,0)</f>
        <v>0</v>
      </c>
      <c r="D66" s="1179" t="s">
        <v>1497</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-8459</v>
      </c>
      <c r="D67" s="1178" t="s">
        <v>1456</v>
      </c>
      <c r="E67" s="1183"/>
      <c r="F67" s="1184"/>
      <c r="O67" s="1889" t="s">
        <v>1039</v>
      </c>
      <c r="P67" s="1880" t="s">
        <v>1554</v>
      </c>
      <c r="Q67" s="1928">
        <f ca="1">L51</f>
        <v>135608</v>
      </c>
      <c r="R67" s="1881" t="s">
        <v>1574</v>
      </c>
    </row>
    <row r="68" spans="1:18" s="1837" customFormat="1" ht="16.5" thickBot="1">
      <c r="A68" s="1162" t="s">
        <v>1029</v>
      </c>
      <c r="B68" s="1163" t="s">
        <v>1477</v>
      </c>
      <c r="C68" s="346">
        <f ca="1">ROUND(C67*(1-((1+F70)/(1+F68))^F69)/(F68-F70),0)</f>
        <v>-137602</v>
      </c>
      <c r="D68" s="1180" t="s">
        <v>1461</v>
      </c>
      <c r="E68" s="1165" t="s">
        <v>1462</v>
      </c>
      <c r="F68" s="357">
        <f ca="1">F40</f>
        <v>5.5E-2</v>
      </c>
      <c r="O68" s="1889" t="s">
        <v>1040</v>
      </c>
      <c r="P68" s="1929" t="s">
        <v>1575</v>
      </c>
      <c r="Q68" s="1881">
        <f ca="1">ROUND(Q69-Q70*Q71,0)</f>
        <v>9151</v>
      </c>
      <c r="R68" s="1881" t="s">
        <v>1048</v>
      </c>
    </row>
    <row r="69" spans="1:18" s="1837" customFormat="1" ht="13.5" thickBot="1">
      <c r="A69" s="1166"/>
      <c r="B69" s="1167"/>
      <c r="C69" s="351"/>
      <c r="D69" s="1185" t="s">
        <v>1465</v>
      </c>
      <c r="E69" s="1165" t="s">
        <v>1466</v>
      </c>
      <c r="F69" s="379">
        <f ca="1">F41</f>
        <v>24.97</v>
      </c>
      <c r="O69" s="1889" t="s">
        <v>1045</v>
      </c>
      <c r="P69" s="1929" t="s">
        <v>1576</v>
      </c>
      <c r="Q69" s="1881">
        <f ca="1">C39</f>
        <v>14555</v>
      </c>
      <c r="R69" s="1881" t="s">
        <v>1521</v>
      </c>
    </row>
    <row r="70" spans="1:18" s="1837" customFormat="1" ht="13.5" thickBot="1">
      <c r="A70" s="1169"/>
      <c r="B70" s="1170"/>
      <c r="C70" s="355"/>
      <c r="D70" s="1181"/>
      <c r="E70" s="1165" t="s">
        <v>1469</v>
      </c>
      <c r="F70" s="1271">
        <f ca="1">F42</f>
        <v>0.02</v>
      </c>
      <c r="O70" s="1889" t="s">
        <v>1046</v>
      </c>
      <c r="P70" s="1929" t="s">
        <v>1577</v>
      </c>
      <c r="Q70" s="1881">
        <f ca="1">C13</f>
        <v>67546</v>
      </c>
      <c r="R70" s="1881" t="s">
        <v>1521</v>
      </c>
    </row>
    <row r="71" spans="1:18" s="1837" customFormat="1" ht="13.5" thickBot="1">
      <c r="A71" s="1186" t="s">
        <v>1030</v>
      </c>
      <c r="B71" s="1187" t="s">
        <v>1479</v>
      </c>
      <c r="C71" s="382">
        <f ca="1">ROUND(C68/F71,0)</f>
        <v>-6887</v>
      </c>
      <c r="D71" s="1188" t="s">
        <v>1480</v>
      </c>
      <c r="E71" s="1189" t="s">
        <v>1481</v>
      </c>
      <c r="F71" s="385">
        <f ca="1">F43</f>
        <v>19.98</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5404</v>
      </c>
      <c r="D75" s="1837"/>
      <c r="E75" s="1837"/>
      <c r="F75" s="1837"/>
      <c r="K75" s="1863"/>
      <c r="L75" s="1837"/>
      <c r="O75" s="1879" t="s">
        <v>1043</v>
      </c>
      <c r="P75" s="1880" t="s">
        <v>1541</v>
      </c>
      <c r="Q75" s="1881">
        <f ca="1">Q65+Q66</f>
        <v>236765</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0.629</v>
      </c>
    </row>
    <row r="80" spans="1:18">
      <c r="B80" s="386" t="s">
        <v>1503</v>
      </c>
      <c r="C80" s="318">
        <f ca="1">ROUND(C75/C39,3)</f>
        <v>0.371</v>
      </c>
    </row>
    <row r="81" spans="2:3">
      <c r="B81" s="314" t="s">
        <v>1504</v>
      </c>
      <c r="C81" s="282"/>
    </row>
    <row r="82" spans="2:3">
      <c r="B82" s="317" t="s">
        <v>1505</v>
      </c>
      <c r="C82" s="319">
        <f ca="1">1-C83</f>
        <v>0.71500000000000008</v>
      </c>
    </row>
    <row r="83" spans="2:3">
      <c r="B83" s="317" t="s">
        <v>1506</v>
      </c>
      <c r="C83" s="318">
        <f ca="1">ROUND(C13/C40,3)</f>
        <v>0.28499999999999998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7" sqref="K2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2517</v>
      </c>
      <c r="B1" s="2556"/>
      <c r="C1" s="2556"/>
      <c r="D1" s="2556"/>
      <c r="E1" s="2557"/>
    </row>
    <row r="2" spans="1:6" ht="15.75">
      <c r="A2" s="2558" t="s">
        <v>2318</v>
      </c>
      <c r="B2" s="2559">
        <f ca="1">SUMIF(B6:B13,"&lt;&gt;#ref!",B6:B13)</f>
        <v>5986</v>
      </c>
      <c r="C2" s="2560" t="s">
        <v>2510</v>
      </c>
      <c r="D2" s="2561" t="s">
        <v>2511</v>
      </c>
      <c r="E2" s="2562">
        <f>SUM(E6:E13)</f>
        <v>3095.6800000000007</v>
      </c>
    </row>
    <row r="3" spans="1:6" ht="15.75">
      <c r="A3" s="2558" t="s">
        <v>1387</v>
      </c>
      <c r="B3" s="2559">
        <f ca="1">ROUND(B2*10000/E2,0)</f>
        <v>19337</v>
      </c>
      <c r="C3" s="2560" t="s">
        <v>2518</v>
      </c>
      <c r="D3" s="2563"/>
      <c r="E3" s="2564"/>
    </row>
    <row r="4" spans="1:6" ht="15.75">
      <c r="A4" s="2565"/>
      <c r="B4" s="2563"/>
      <c r="C4" s="2563"/>
      <c r="D4" s="2563"/>
      <c r="E4" s="2564"/>
    </row>
    <row r="5" spans="1:6" ht="15">
      <c r="A5" s="2566" t="s">
        <v>2512</v>
      </c>
      <c r="B5" s="3363" t="s">
        <v>2513</v>
      </c>
      <c r="C5" s="3363"/>
      <c r="D5" s="2567"/>
      <c r="E5" s="2568" t="s">
        <v>2514</v>
      </c>
      <c r="F5" s="2569" t="s">
        <v>2515</v>
      </c>
    </row>
    <row r="6" spans="1:6">
      <c r="A6" s="2570" t="str">
        <f>'数据-取费表'!AN6</f>
        <v>收益法</v>
      </c>
      <c r="B6" s="2569">
        <f ca="1">IF(F6="是",'数据-取费表'!AO6,0)</f>
        <v>5962</v>
      </c>
      <c r="C6" s="2560" t="s">
        <v>2510</v>
      </c>
      <c r="D6" s="2563"/>
      <c r="E6" s="2571">
        <f>IF(OR(A6=0,F6="否"),0,'数据-取费表'!K6+'数据-取费表'!S6)</f>
        <v>3075.7000000000007</v>
      </c>
      <c r="F6" s="2572" t="s">
        <v>2516</v>
      </c>
    </row>
    <row r="7" spans="1:6">
      <c r="A7" s="2570" t="str">
        <f>'数据-取费表'!AN7</f>
        <v>收益法 (地下)</v>
      </c>
      <c r="B7" s="2569">
        <f ca="1">IF(F7="是",'数据-取费表'!AO7,0)</f>
        <v>24</v>
      </c>
      <c r="C7" s="2560" t="s">
        <v>2510</v>
      </c>
      <c r="D7" s="2563"/>
      <c r="E7" s="2571">
        <f>IF(OR(A7=0,F7="否"),0,'数据-取费表'!K7+'数据-取费表'!S7)</f>
        <v>19.98</v>
      </c>
      <c r="F7" s="2572" t="s">
        <v>2516</v>
      </c>
    </row>
    <row r="8" spans="1:6">
      <c r="A8" s="2570">
        <f>'数据-取费表'!AN8</f>
        <v>0</v>
      </c>
      <c r="B8" s="2569" t="e">
        <f ca="1">IF(F8="是",'数据-取费表'!AO8,0)</f>
        <v>#REF!</v>
      </c>
      <c r="C8" s="2560" t="s">
        <v>2510</v>
      </c>
      <c r="D8" s="2563"/>
      <c r="E8" s="2571">
        <f>IF(OR(A8=0,F8="否"),0,'数据-取费表'!K8+'数据-取费表'!S8)</f>
        <v>0</v>
      </c>
      <c r="F8" s="2572" t="s">
        <v>2516</v>
      </c>
    </row>
    <row r="9" spans="1:6">
      <c r="A9" s="2570">
        <f>'数据-取费表'!AN9</f>
        <v>0</v>
      </c>
      <c r="B9" s="2569" t="e">
        <f ca="1">IF(F9="是",'数据-取费表'!AO9,0)</f>
        <v>#REF!</v>
      </c>
      <c r="C9" s="2560" t="s">
        <v>2510</v>
      </c>
      <c r="D9" s="2563"/>
      <c r="E9" s="2571">
        <f>IF(OR(A9=0,F9="否"),0,'数据-取费表'!K9+'数据-取费表'!S9)</f>
        <v>0</v>
      </c>
      <c r="F9" s="2572" t="s">
        <v>2516</v>
      </c>
    </row>
    <row r="10" spans="1:6">
      <c r="A10" s="2570">
        <f>'数据-取费表'!AN10</f>
        <v>0</v>
      </c>
      <c r="B10" s="2569" t="e">
        <f ca="1">IF(F10="是",'数据-取费表'!AO10,0)</f>
        <v>#REF!</v>
      </c>
      <c r="C10" s="2560" t="s">
        <v>2510</v>
      </c>
      <c r="D10" s="2563"/>
      <c r="E10" s="2571">
        <f>IF(OR(A10=0,F10="否"),0,'数据-取费表'!K10+'数据-取费表'!S10)</f>
        <v>0</v>
      </c>
      <c r="F10" s="2572" t="s">
        <v>2516</v>
      </c>
    </row>
    <row r="11" spans="1:6">
      <c r="A11" s="2570">
        <f>'数据-取费表'!AN11</f>
        <v>0</v>
      </c>
      <c r="B11" s="2569" t="e">
        <f ca="1">IF(F11="是",'数据-取费表'!AO11,0)</f>
        <v>#REF!</v>
      </c>
      <c r="C11" s="2560" t="s">
        <v>2510</v>
      </c>
      <c r="D11" s="2563"/>
      <c r="E11" s="2571">
        <f>IF(OR(A11=0,F11="否"),0,'数据-取费表'!K11+'数据-取费表'!S11)</f>
        <v>0</v>
      </c>
      <c r="F11" s="2572" t="s">
        <v>2516</v>
      </c>
    </row>
    <row r="12" spans="1:6">
      <c r="A12" s="2570">
        <f>'数据-取费表'!AN12</f>
        <v>0</v>
      </c>
      <c r="B12" s="2569" t="e">
        <f ca="1">IF(F12="是",'数据-取费表'!AO12,0)</f>
        <v>#REF!</v>
      </c>
      <c r="C12" s="2560" t="s">
        <v>2510</v>
      </c>
      <c r="D12" s="2563"/>
      <c r="E12" s="2571">
        <f>IF(OR(A12=0,F12="否"),0,'数据-取费表'!K12+'数据-取费表'!S12)</f>
        <v>0</v>
      </c>
      <c r="F12" s="2572" t="s">
        <v>2516</v>
      </c>
    </row>
    <row r="13" spans="1:6" ht="15" thickBot="1">
      <c r="A13" s="2573">
        <f>'数据-取费表'!AN13</f>
        <v>0</v>
      </c>
      <c r="B13" s="2569" t="e">
        <f ca="1">IF(F13="是",'数据-取费表'!AO13,0)</f>
        <v>#REF!</v>
      </c>
      <c r="C13" s="2574" t="s">
        <v>2510</v>
      </c>
      <c r="D13" s="2575"/>
      <c r="E13" s="2571">
        <f>IF(OR(A13=0,F13="否"),0,'数据-取费表'!K13+'数据-取费表'!S13)</f>
        <v>0</v>
      </c>
      <c r="F13" s="257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56"/>
      <c r="B4" s="3041" t="s">
        <v>1622</v>
      </c>
      <c r="C4" s="3041"/>
      <c r="D4" s="3041"/>
      <c r="E4" s="1956"/>
    </row>
    <row r="5" spans="1:5" ht="16.5" thickTop="1">
      <c r="A5" s="1954"/>
      <c r="B5" s="3039" t="s">
        <v>1614</v>
      </c>
      <c r="C5" s="1957" t="s">
        <v>1615</v>
      </c>
      <c r="D5" s="1036">
        <f ca="1">结果表!H101</f>
        <v>8416</v>
      </c>
      <c r="E5" s="1954"/>
    </row>
    <row r="6" spans="1:5" ht="15.75">
      <c r="A6" s="1954"/>
      <c r="B6" s="3039"/>
      <c r="C6" s="1957" t="s">
        <v>1616</v>
      </c>
      <c r="D6" s="1036" t="str">
        <f ca="1">NUMBERSTRING(INT(D5*10000),2)&amp;"元整"</f>
        <v>捌仟肆佰壹拾陆万元整</v>
      </c>
      <c r="E6" s="1954"/>
    </row>
    <row r="7" spans="1:5" ht="15.75">
      <c r="A7" s="1954"/>
      <c r="B7" s="3044"/>
      <c r="C7" s="1958" t="s">
        <v>1617</v>
      </c>
      <c r="D7" s="1037">
        <f ca="1">结果表!H102</f>
        <v>27186</v>
      </c>
      <c r="E7" s="1954"/>
    </row>
    <row r="8" spans="1:5" ht="15.75">
      <c r="A8" s="1954"/>
      <c r="B8" s="3045" t="str">
        <f>结果表!E103</f>
        <v>2.估价师知悉的法定优先受偿款</v>
      </c>
      <c r="C8" s="1959" t="s">
        <v>1618</v>
      </c>
      <c r="D8" s="1037">
        <f>结果表!H103</f>
        <v>0</v>
      </c>
      <c r="E8" s="1954"/>
    </row>
    <row r="9" spans="1:5" ht="15.75">
      <c r="A9" s="1954"/>
      <c r="B9" s="3047"/>
      <c r="C9" s="1957" t="s">
        <v>1616</v>
      </c>
      <c r="D9" s="1036" t="str">
        <f>NUMBERSTRING(INT(D8*10000),2)&amp;"元整"</f>
        <v>零元整</v>
      </c>
      <c r="E9" s="1954"/>
    </row>
    <row r="10" spans="1:5" ht="15">
      <c r="A10" s="1954"/>
      <c r="B10" s="1960" t="s">
        <v>1621</v>
      </c>
      <c r="C10" s="1961" t="s">
        <v>1619</v>
      </c>
      <c r="D10" s="1038">
        <f>结果表!H104</f>
        <v>0</v>
      </c>
      <c r="E10" s="1954"/>
    </row>
    <row r="11" spans="1:5" ht="15">
      <c r="A11" s="1954"/>
      <c r="B11" s="1960" t="s">
        <v>1623</v>
      </c>
      <c r="C11" s="1961" t="s">
        <v>1624</v>
      </c>
      <c r="D11" s="1038">
        <f>结果表!H105</f>
        <v>0</v>
      </c>
      <c r="E11" s="1954"/>
    </row>
    <row r="12" spans="1:5" ht="15">
      <c r="A12" s="1954"/>
      <c r="B12" s="1960" t="s">
        <v>1625</v>
      </c>
      <c r="C12" s="1961" t="s">
        <v>1624</v>
      </c>
      <c r="D12" s="1038">
        <f>结果表!H106</f>
        <v>0</v>
      </c>
      <c r="E12" s="1954"/>
    </row>
    <row r="13" spans="1:5" ht="15.75">
      <c r="A13" s="1954"/>
      <c r="B13" s="3038" t="str">
        <f>结果表!E107</f>
        <v>3.房地产抵押价值</v>
      </c>
      <c r="C13" s="1962" t="s">
        <v>1615</v>
      </c>
      <c r="D13" s="1039">
        <f ca="1">结果表!H107</f>
        <v>8416</v>
      </c>
      <c r="E13" s="1954"/>
    </row>
    <row r="14" spans="1:5" ht="15.75">
      <c r="A14" s="1954"/>
      <c r="B14" s="3039"/>
      <c r="C14" s="1957" t="s">
        <v>1616</v>
      </c>
      <c r="D14" s="1036" t="str">
        <f ca="1">NUMBERSTRING(INT(D13*10000),2)&amp;"元整"</f>
        <v>捌仟肆佰壹拾陆万元整</v>
      </c>
      <c r="E14" s="1954"/>
    </row>
    <row r="15" spans="1:5" ht="15">
      <c r="A15" s="1954"/>
      <c r="B15" s="3044"/>
      <c r="C15" s="1958" t="s">
        <v>1626</v>
      </c>
      <c r="D15" s="1048">
        <f ca="1">结果表!H108</f>
        <v>27186</v>
      </c>
      <c r="E15" s="1954"/>
    </row>
    <row r="16" spans="1:5" ht="15">
      <c r="A16" s="1954"/>
      <c r="B16" s="3045" t="str">
        <f>结果表!E109</f>
        <v>——</v>
      </c>
      <c r="C16" s="1962" t="s">
        <v>1627</v>
      </c>
      <c r="D16" s="1963" t="str">
        <f>结果表!H109</f>
        <v>——</v>
      </c>
      <c r="E16" s="1954"/>
    </row>
    <row r="17" spans="1:5" ht="15.75">
      <c r="A17" s="1954"/>
      <c r="B17" s="3046"/>
      <c r="C17" s="1957" t="s">
        <v>1628</v>
      </c>
      <c r="D17" s="1036" t="e">
        <f>NUMBERSTRING(INT(D16*10000),2)&amp;"元整"</f>
        <v>#VALUE!</v>
      </c>
      <c r="E17" s="1954"/>
    </row>
    <row r="18" spans="1:5" ht="15">
      <c r="A18" s="1954"/>
      <c r="B18" s="3047"/>
      <c r="C18" s="1958" t="s">
        <v>1617</v>
      </c>
      <c r="D18" s="1048" t="str">
        <f>结果表!H110</f>
        <v>——</v>
      </c>
      <c r="E18" s="1954"/>
    </row>
    <row r="19" spans="1:5" ht="15.75">
      <c r="A19" s="1954"/>
      <c r="B19" s="3038" t="str">
        <f>结果表!E111</f>
        <v>——</v>
      </c>
      <c r="C19" s="1962" t="s">
        <v>1615</v>
      </c>
      <c r="D19" s="1037" t="str">
        <f>结果表!H111</f>
        <v>——</v>
      </c>
      <c r="E19" s="1954"/>
    </row>
    <row r="20" spans="1:5" ht="15.75">
      <c r="A20" s="1954"/>
      <c r="B20" s="3039"/>
      <c r="C20" s="1957" t="s">
        <v>1628</v>
      </c>
      <c r="D20" s="1036" t="e">
        <f>NUMBERSTRING(INT(D19*10000),2)&amp;"元整"</f>
        <v>#VALUE!</v>
      </c>
      <c r="E20" s="1954"/>
    </row>
    <row r="21" spans="1:5" ht="15.75" thickBot="1">
      <c r="A21" s="1954"/>
      <c r="B21" s="3040"/>
      <c r="C21" s="1964" t="s">
        <v>1626</v>
      </c>
      <c r="D21" s="1049" t="str">
        <f>结果表!H112</f>
        <v>——</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 zoomScale="120" zoomScaleNormal="120" workbookViewId="0">
      <selection activeCell="K23" sqref="K23"/>
    </sheetView>
  </sheetViews>
  <sheetFormatPr defaultColWidth="9" defaultRowHeight="13.5"/>
  <cols>
    <col min="1" max="1" width="5.25" style="2953" customWidth="1"/>
    <col min="2" max="2" width="22.5" style="2953" customWidth="1"/>
    <col min="3" max="3" width="22.375" style="2953" customWidth="1"/>
    <col min="4" max="4" width="27" style="2953" customWidth="1"/>
    <col min="5" max="5" width="6.375" style="2953" customWidth="1"/>
    <col min="6" max="6" width="12" style="2953" customWidth="1"/>
    <col min="7" max="7" width="11.875" style="2953" customWidth="1"/>
    <col min="8" max="8" width="9" style="2953"/>
    <col min="9" max="9" width="15.5" style="2953" customWidth="1"/>
    <col min="10" max="10" width="9.5" style="2953" customWidth="1"/>
    <col min="11" max="39" width="9" style="2960"/>
    <col min="40" max="16384" width="9" style="2953"/>
  </cols>
  <sheetData>
    <row r="1" spans="1:10" ht="14.25">
      <c r="A1" s="3364" t="s">
        <v>3045</v>
      </c>
      <c r="B1" s="3364"/>
      <c r="C1" s="3364"/>
      <c r="D1" s="3365"/>
      <c r="E1" s="3365"/>
      <c r="F1" s="3365"/>
      <c r="G1" s="3365"/>
      <c r="H1" s="3365"/>
      <c r="I1" s="3366"/>
    </row>
    <row r="2" spans="1:10" ht="13.5" customHeight="1">
      <c r="A2" s="3367" t="s">
        <v>3046</v>
      </c>
      <c r="B2" s="3367" t="s">
        <v>3047</v>
      </c>
      <c r="C2" s="3369" t="s">
        <v>3048</v>
      </c>
      <c r="D2" s="3367" t="s">
        <v>3049</v>
      </c>
      <c r="E2" s="3367" t="s">
        <v>3050</v>
      </c>
      <c r="F2" s="3367" t="s">
        <v>3051</v>
      </c>
      <c r="G2" s="3367" t="s">
        <v>3052</v>
      </c>
      <c r="H2" s="3367" t="s">
        <v>3053</v>
      </c>
      <c r="I2" s="3367" t="s">
        <v>3054</v>
      </c>
    </row>
    <row r="3" spans="1:10">
      <c r="A3" s="3368"/>
      <c r="B3" s="3368"/>
      <c r="C3" s="3370"/>
      <c r="D3" s="3368"/>
      <c r="E3" s="3368"/>
      <c r="F3" s="3368"/>
      <c r="G3" s="3368"/>
      <c r="H3" s="3368"/>
      <c r="I3" s="3368"/>
    </row>
    <row r="4" spans="1:10">
      <c r="A4" s="2954">
        <v>1</v>
      </c>
      <c r="B4" s="2954" t="s">
        <v>3256</v>
      </c>
      <c r="C4" s="2954" t="s">
        <v>3055</v>
      </c>
      <c r="D4" s="2955" t="s">
        <v>3056</v>
      </c>
      <c r="E4" s="2956">
        <v>9</v>
      </c>
      <c r="F4" s="2956" t="s">
        <v>3057</v>
      </c>
      <c r="G4" s="2957">
        <v>31.28</v>
      </c>
      <c r="H4" s="2954" t="s">
        <v>3058</v>
      </c>
      <c r="I4" s="2954" t="s">
        <v>3059</v>
      </c>
      <c r="J4" s="2995" t="s">
        <v>1369</v>
      </c>
    </row>
    <row r="5" spans="1:10">
      <c r="A5" s="2954">
        <v>2</v>
      </c>
      <c r="B5" s="2954" t="s">
        <v>3060</v>
      </c>
      <c r="C5" s="2954" t="s">
        <v>3055</v>
      </c>
      <c r="D5" s="2955" t="s">
        <v>3061</v>
      </c>
      <c r="E5" s="2958">
        <v>9</v>
      </c>
      <c r="F5" s="2956" t="s">
        <v>3057</v>
      </c>
      <c r="G5" s="2957">
        <v>36.04</v>
      </c>
      <c r="H5" s="2954" t="s">
        <v>3058</v>
      </c>
      <c r="I5" s="2954" t="s">
        <v>3059</v>
      </c>
      <c r="J5" s="2995" t="s">
        <v>1369</v>
      </c>
    </row>
    <row r="6" spans="1:10">
      <c r="A6" s="2954">
        <v>3</v>
      </c>
      <c r="B6" s="2954" t="s">
        <v>3062</v>
      </c>
      <c r="C6" s="2954" t="s">
        <v>3055</v>
      </c>
      <c r="D6" s="2955" t="s">
        <v>3063</v>
      </c>
      <c r="E6" s="2956">
        <v>9</v>
      </c>
      <c r="F6" s="2956" t="s">
        <v>3057</v>
      </c>
      <c r="G6" s="2957">
        <v>64.66</v>
      </c>
      <c r="H6" s="2954" t="s">
        <v>3058</v>
      </c>
      <c r="I6" s="2954" t="s">
        <v>3059</v>
      </c>
      <c r="J6" s="2995" t="s">
        <v>1369</v>
      </c>
    </row>
    <row r="7" spans="1:10">
      <c r="A7" s="2954">
        <v>4</v>
      </c>
      <c r="B7" s="2954" t="s">
        <v>3064</v>
      </c>
      <c r="C7" s="2954" t="s">
        <v>3055</v>
      </c>
      <c r="D7" s="2955" t="s">
        <v>3065</v>
      </c>
      <c r="E7" s="2956">
        <v>9</v>
      </c>
      <c r="F7" s="2956" t="s">
        <v>3057</v>
      </c>
      <c r="G7" s="2957">
        <v>70.14</v>
      </c>
      <c r="H7" s="2954" t="s">
        <v>3058</v>
      </c>
      <c r="I7" s="2954" t="s">
        <v>3059</v>
      </c>
      <c r="J7" s="2995" t="s">
        <v>1369</v>
      </c>
    </row>
    <row r="8" spans="1:10">
      <c r="A8" s="2954">
        <v>5</v>
      </c>
      <c r="B8" s="2954" t="s">
        <v>3066</v>
      </c>
      <c r="C8" s="2954" t="s">
        <v>3055</v>
      </c>
      <c r="D8" s="2955" t="s">
        <v>3067</v>
      </c>
      <c r="E8" s="2956">
        <v>9</v>
      </c>
      <c r="F8" s="2956" t="s">
        <v>3057</v>
      </c>
      <c r="G8" s="2957">
        <v>71.08</v>
      </c>
      <c r="H8" s="2954" t="s">
        <v>3058</v>
      </c>
      <c r="I8" s="2954" t="s">
        <v>3059</v>
      </c>
      <c r="J8" s="2995" t="s">
        <v>1369</v>
      </c>
    </row>
    <row r="9" spans="1:10">
      <c r="A9" s="2954">
        <v>6</v>
      </c>
      <c r="B9" s="2954" t="s">
        <v>3068</v>
      </c>
      <c r="C9" s="2954" t="s">
        <v>3055</v>
      </c>
      <c r="D9" s="2955" t="s">
        <v>3069</v>
      </c>
      <c r="E9" s="2956">
        <v>9</v>
      </c>
      <c r="F9" s="2956" t="s">
        <v>3057</v>
      </c>
      <c r="G9" s="2957">
        <v>129.80000000000001</v>
      </c>
      <c r="H9" s="2954" t="s">
        <v>3058</v>
      </c>
      <c r="I9" s="2954" t="s">
        <v>3059</v>
      </c>
      <c r="J9" s="2995" t="s">
        <v>1369</v>
      </c>
    </row>
    <row r="10" spans="1:10">
      <c r="A10" s="2954">
        <v>7</v>
      </c>
      <c r="B10" s="2954" t="s">
        <v>3070</v>
      </c>
      <c r="C10" s="2954" t="s">
        <v>3055</v>
      </c>
      <c r="D10" s="2955" t="s">
        <v>3071</v>
      </c>
      <c r="E10" s="2956">
        <v>9</v>
      </c>
      <c r="F10" s="2956" t="s">
        <v>3057</v>
      </c>
      <c r="G10" s="2957">
        <v>75.27</v>
      </c>
      <c r="H10" s="2954" t="s">
        <v>3058</v>
      </c>
      <c r="I10" s="2954" t="s">
        <v>3059</v>
      </c>
      <c r="J10" s="2995" t="s">
        <v>1369</v>
      </c>
    </row>
    <row r="11" spans="1:10">
      <c r="A11" s="2954">
        <v>8</v>
      </c>
      <c r="B11" s="2954" t="s">
        <v>3072</v>
      </c>
      <c r="C11" s="2954" t="s">
        <v>3055</v>
      </c>
      <c r="D11" s="2955" t="s">
        <v>3073</v>
      </c>
      <c r="E11" s="2956">
        <v>9</v>
      </c>
      <c r="F11" s="2956" t="s">
        <v>3057</v>
      </c>
      <c r="G11" s="2957">
        <v>70.739999999999995</v>
      </c>
      <c r="H11" s="2954" t="s">
        <v>3058</v>
      </c>
      <c r="I11" s="2954" t="s">
        <v>3059</v>
      </c>
      <c r="J11" s="2995" t="s">
        <v>1369</v>
      </c>
    </row>
    <row r="12" spans="1:10">
      <c r="A12" s="2954">
        <v>9</v>
      </c>
      <c r="B12" s="2954" t="s">
        <v>3074</v>
      </c>
      <c r="C12" s="2954" t="s">
        <v>3055</v>
      </c>
      <c r="D12" s="2955" t="s">
        <v>3075</v>
      </c>
      <c r="E12" s="2956">
        <v>9</v>
      </c>
      <c r="F12" s="2956" t="s">
        <v>3057</v>
      </c>
      <c r="G12" s="2957">
        <v>225.74</v>
      </c>
      <c r="H12" s="2954" t="s">
        <v>3058</v>
      </c>
      <c r="I12" s="2954" t="s">
        <v>3059</v>
      </c>
      <c r="J12" s="2995" t="s">
        <v>1369</v>
      </c>
    </row>
    <row r="13" spans="1:10">
      <c r="A13" s="2954">
        <v>10</v>
      </c>
      <c r="B13" s="2954" t="s">
        <v>3076</v>
      </c>
      <c r="C13" s="2954" t="s">
        <v>3055</v>
      </c>
      <c r="D13" s="2955" t="s">
        <v>3077</v>
      </c>
      <c r="E13" s="2956">
        <v>9</v>
      </c>
      <c r="F13" s="2956" t="s">
        <v>3057</v>
      </c>
      <c r="G13" s="2957">
        <v>88.24</v>
      </c>
      <c r="H13" s="2954" t="s">
        <v>3058</v>
      </c>
      <c r="I13" s="2954" t="s">
        <v>3059</v>
      </c>
      <c r="J13" s="2995" t="s">
        <v>1369</v>
      </c>
    </row>
    <row r="14" spans="1:10">
      <c r="A14" s="2954">
        <v>11</v>
      </c>
      <c r="B14" s="2954" t="s">
        <v>3078</v>
      </c>
      <c r="C14" s="2954" t="s">
        <v>3055</v>
      </c>
      <c r="D14" s="2955" t="s">
        <v>3079</v>
      </c>
      <c r="E14" s="2956">
        <v>9</v>
      </c>
      <c r="F14" s="2956" t="s">
        <v>3057</v>
      </c>
      <c r="G14" s="2957">
        <v>81.84</v>
      </c>
      <c r="H14" s="2954" t="s">
        <v>3058</v>
      </c>
      <c r="I14" s="2954" t="s">
        <v>3059</v>
      </c>
      <c r="J14" s="2995" t="s">
        <v>1369</v>
      </c>
    </row>
    <row r="15" spans="1:10">
      <c r="A15" s="2954">
        <v>12</v>
      </c>
      <c r="B15" s="2954" t="s">
        <v>3080</v>
      </c>
      <c r="C15" s="2954" t="s">
        <v>3055</v>
      </c>
      <c r="D15" s="2955" t="s">
        <v>3081</v>
      </c>
      <c r="E15" s="2956">
        <v>9</v>
      </c>
      <c r="F15" s="2956" t="s">
        <v>3057</v>
      </c>
      <c r="G15" s="2957">
        <v>63.96</v>
      </c>
      <c r="H15" s="2954" t="s">
        <v>3058</v>
      </c>
      <c r="I15" s="2954" t="s">
        <v>3059</v>
      </c>
      <c r="J15" s="2995" t="s">
        <v>1369</v>
      </c>
    </row>
    <row r="16" spans="1:10">
      <c r="A16" s="2954">
        <v>13</v>
      </c>
      <c r="B16" s="2954" t="s">
        <v>3082</v>
      </c>
      <c r="C16" s="2954" t="s">
        <v>3055</v>
      </c>
      <c r="D16" s="2955" t="s">
        <v>3083</v>
      </c>
      <c r="E16" s="2956">
        <v>9</v>
      </c>
      <c r="F16" s="2956" t="s">
        <v>3057</v>
      </c>
      <c r="G16" s="2957">
        <v>63.96</v>
      </c>
      <c r="H16" s="2954" t="s">
        <v>3058</v>
      </c>
      <c r="I16" s="2954" t="s">
        <v>3059</v>
      </c>
      <c r="J16" s="2995" t="s">
        <v>1369</v>
      </c>
    </row>
    <row r="17" spans="1:10">
      <c r="A17" s="2954">
        <v>14</v>
      </c>
      <c r="B17" s="2954" t="s">
        <v>3084</v>
      </c>
      <c r="C17" s="2954" t="s">
        <v>3055</v>
      </c>
      <c r="D17" s="2955" t="s">
        <v>3085</v>
      </c>
      <c r="E17" s="2956">
        <v>9</v>
      </c>
      <c r="F17" s="2956" t="s">
        <v>3057</v>
      </c>
      <c r="G17" s="2957">
        <v>63.96</v>
      </c>
      <c r="H17" s="2954" t="s">
        <v>3058</v>
      </c>
      <c r="I17" s="2954" t="s">
        <v>3059</v>
      </c>
      <c r="J17" s="2995" t="s">
        <v>1369</v>
      </c>
    </row>
    <row r="18" spans="1:10">
      <c r="A18" s="2954">
        <v>15</v>
      </c>
      <c r="B18" s="2954" t="s">
        <v>3086</v>
      </c>
      <c r="C18" s="2954" t="s">
        <v>3055</v>
      </c>
      <c r="D18" s="2955" t="s">
        <v>3087</v>
      </c>
      <c r="E18" s="2956">
        <v>9</v>
      </c>
      <c r="F18" s="2956" t="s">
        <v>3057</v>
      </c>
      <c r="G18" s="2957">
        <v>63.96</v>
      </c>
      <c r="H18" s="2954" t="s">
        <v>3058</v>
      </c>
      <c r="I18" s="2954" t="s">
        <v>3059</v>
      </c>
      <c r="J18" s="2995" t="s">
        <v>1369</v>
      </c>
    </row>
    <row r="19" spans="1:10" ht="13.5" customHeight="1">
      <c r="A19" s="2954">
        <v>16</v>
      </c>
      <c r="B19" s="2954" t="s">
        <v>3088</v>
      </c>
      <c r="C19" s="2954" t="s">
        <v>3055</v>
      </c>
      <c r="D19" s="2955" t="s">
        <v>3089</v>
      </c>
      <c r="E19" s="2956">
        <v>10</v>
      </c>
      <c r="F19" s="2956" t="s">
        <v>3057</v>
      </c>
      <c r="G19" s="2959">
        <v>141.24</v>
      </c>
      <c r="H19" s="2954" t="s">
        <v>3058</v>
      </c>
      <c r="I19" s="2954" t="s">
        <v>3059</v>
      </c>
      <c r="J19" s="2995" t="s">
        <v>1369</v>
      </c>
    </row>
    <row r="20" spans="1:10">
      <c r="A20" s="2954">
        <v>17</v>
      </c>
      <c r="B20" s="2954" t="s">
        <v>3090</v>
      </c>
      <c r="C20" s="2954" t="s">
        <v>3055</v>
      </c>
      <c r="D20" s="2955" t="s">
        <v>3091</v>
      </c>
      <c r="E20" s="2956">
        <v>10</v>
      </c>
      <c r="F20" s="2956" t="s">
        <v>3057</v>
      </c>
      <c r="G20" s="2959">
        <v>32.51</v>
      </c>
      <c r="H20" s="2954" t="s">
        <v>3058</v>
      </c>
      <c r="I20" s="2954" t="s">
        <v>3059</v>
      </c>
      <c r="J20" s="2995" t="s">
        <v>1369</v>
      </c>
    </row>
    <row r="21" spans="1:10">
      <c r="A21" s="2954">
        <v>18</v>
      </c>
      <c r="B21" s="2954" t="s">
        <v>3092</v>
      </c>
      <c r="C21" s="2954" t="s">
        <v>3055</v>
      </c>
      <c r="D21" s="2955" t="s">
        <v>3093</v>
      </c>
      <c r="E21" s="2956">
        <v>10</v>
      </c>
      <c r="F21" s="2956" t="s">
        <v>3057</v>
      </c>
      <c r="G21" s="2959">
        <v>43.29</v>
      </c>
      <c r="H21" s="2954" t="s">
        <v>3058</v>
      </c>
      <c r="I21" s="2954" t="s">
        <v>3059</v>
      </c>
      <c r="J21" s="2995" t="s">
        <v>1369</v>
      </c>
    </row>
    <row r="22" spans="1:10">
      <c r="A22" s="2954">
        <v>19</v>
      </c>
      <c r="B22" s="2954" t="s">
        <v>3094</v>
      </c>
      <c r="C22" s="2954" t="s">
        <v>3055</v>
      </c>
      <c r="D22" s="2955" t="s">
        <v>3095</v>
      </c>
      <c r="E22" s="2956">
        <v>10</v>
      </c>
      <c r="F22" s="2956" t="s">
        <v>3057</v>
      </c>
      <c r="G22" s="2959">
        <v>41.79</v>
      </c>
      <c r="H22" s="2954" t="s">
        <v>3058</v>
      </c>
      <c r="I22" s="2954" t="s">
        <v>3059</v>
      </c>
      <c r="J22" s="2995" t="s">
        <v>1369</v>
      </c>
    </row>
    <row r="23" spans="1:10">
      <c r="A23" s="2954">
        <v>20</v>
      </c>
      <c r="B23" s="2954" t="s">
        <v>3096</v>
      </c>
      <c r="C23" s="2954" t="s">
        <v>3055</v>
      </c>
      <c r="D23" s="2955" t="s">
        <v>3097</v>
      </c>
      <c r="E23" s="2956">
        <v>10</v>
      </c>
      <c r="F23" s="2956" t="s">
        <v>3057</v>
      </c>
      <c r="G23" s="2959">
        <v>55.44</v>
      </c>
      <c r="H23" s="2954" t="s">
        <v>3058</v>
      </c>
      <c r="I23" s="2954" t="s">
        <v>3059</v>
      </c>
      <c r="J23" s="2995" t="s">
        <v>1369</v>
      </c>
    </row>
    <row r="24" spans="1:10">
      <c r="A24" s="2954">
        <v>21</v>
      </c>
      <c r="B24" s="2954" t="s">
        <v>3098</v>
      </c>
      <c r="C24" s="2954" t="s">
        <v>3055</v>
      </c>
      <c r="D24" s="2955" t="s">
        <v>3099</v>
      </c>
      <c r="E24" s="2956">
        <v>10</v>
      </c>
      <c r="F24" s="2956" t="s">
        <v>3057</v>
      </c>
      <c r="G24" s="2959">
        <v>37.15</v>
      </c>
      <c r="H24" s="2954" t="s">
        <v>3058</v>
      </c>
      <c r="I24" s="2954" t="s">
        <v>3059</v>
      </c>
      <c r="J24" s="2995" t="s">
        <v>1369</v>
      </c>
    </row>
    <row r="25" spans="1:10">
      <c r="A25" s="2954">
        <v>22</v>
      </c>
      <c r="B25" s="2954" t="s">
        <v>3100</v>
      </c>
      <c r="C25" s="2954" t="s">
        <v>3055</v>
      </c>
      <c r="D25" s="2955" t="s">
        <v>3101</v>
      </c>
      <c r="E25" s="2956">
        <v>10</v>
      </c>
      <c r="F25" s="2956" t="s">
        <v>3057</v>
      </c>
      <c r="G25" s="2959">
        <v>31.91</v>
      </c>
      <c r="H25" s="2954" t="s">
        <v>3058</v>
      </c>
      <c r="I25" s="2954" t="s">
        <v>3059</v>
      </c>
      <c r="J25" s="2995" t="s">
        <v>1369</v>
      </c>
    </row>
    <row r="26" spans="1:10">
      <c r="A26" s="2954">
        <v>23</v>
      </c>
      <c r="B26" s="2954" t="s">
        <v>3102</v>
      </c>
      <c r="C26" s="2954" t="s">
        <v>3055</v>
      </c>
      <c r="D26" s="2955" t="s">
        <v>3103</v>
      </c>
      <c r="E26" s="2956">
        <v>10</v>
      </c>
      <c r="F26" s="2956" t="s">
        <v>3057</v>
      </c>
      <c r="G26" s="2959">
        <v>182.1</v>
      </c>
      <c r="H26" s="2954" t="s">
        <v>3058</v>
      </c>
      <c r="I26" s="2954" t="s">
        <v>3059</v>
      </c>
      <c r="J26" s="2995" t="s">
        <v>1369</v>
      </c>
    </row>
    <row r="27" spans="1:10">
      <c r="A27" s="2954">
        <v>24</v>
      </c>
      <c r="B27" s="2954" t="s">
        <v>3104</v>
      </c>
      <c r="C27" s="2954" t="s">
        <v>3055</v>
      </c>
      <c r="D27" s="2955" t="s">
        <v>3105</v>
      </c>
      <c r="E27" s="2956">
        <v>10</v>
      </c>
      <c r="F27" s="2956" t="s">
        <v>3057</v>
      </c>
      <c r="G27" s="2959">
        <v>264.62</v>
      </c>
      <c r="H27" s="2954" t="s">
        <v>3058</v>
      </c>
      <c r="I27" s="2954" t="s">
        <v>3059</v>
      </c>
      <c r="J27" s="2995" t="s">
        <v>1369</v>
      </c>
    </row>
    <row r="28" spans="1:10">
      <c r="A28" s="2954">
        <v>25</v>
      </c>
      <c r="B28" s="2954" t="s">
        <v>3106</v>
      </c>
      <c r="C28" s="2954" t="s">
        <v>3055</v>
      </c>
      <c r="D28" s="2955" t="s">
        <v>3107</v>
      </c>
      <c r="E28" s="2956">
        <v>10</v>
      </c>
      <c r="F28" s="2956" t="s">
        <v>3057</v>
      </c>
      <c r="G28" s="2959">
        <v>259</v>
      </c>
      <c r="H28" s="2954" t="s">
        <v>3058</v>
      </c>
      <c r="I28" s="2954" t="s">
        <v>3059</v>
      </c>
      <c r="J28" s="2995" t="s">
        <v>1369</v>
      </c>
    </row>
    <row r="29" spans="1:10">
      <c r="A29" s="2954">
        <v>26</v>
      </c>
      <c r="B29" s="2954" t="s">
        <v>3108</v>
      </c>
      <c r="C29" s="2954" t="s">
        <v>3055</v>
      </c>
      <c r="D29" s="2955" t="s">
        <v>3109</v>
      </c>
      <c r="E29" s="2956">
        <v>10</v>
      </c>
      <c r="F29" s="2956" t="s">
        <v>3057</v>
      </c>
      <c r="G29" s="2959">
        <v>254.27</v>
      </c>
      <c r="H29" s="2954" t="s">
        <v>3058</v>
      </c>
      <c r="I29" s="2954" t="s">
        <v>3059</v>
      </c>
      <c r="J29" s="2995" t="s">
        <v>1369</v>
      </c>
    </row>
    <row r="30" spans="1:10">
      <c r="A30" s="2954">
        <v>27</v>
      </c>
      <c r="B30" s="2954" t="s">
        <v>3110</v>
      </c>
      <c r="C30" s="2954" t="s">
        <v>3055</v>
      </c>
      <c r="D30" s="2955" t="s">
        <v>3111</v>
      </c>
      <c r="E30" s="2956">
        <v>10</v>
      </c>
      <c r="F30" s="2956" t="s">
        <v>3057</v>
      </c>
      <c r="G30" s="2959">
        <v>82.76</v>
      </c>
      <c r="H30" s="2954" t="s">
        <v>3058</v>
      </c>
      <c r="I30" s="2954" t="s">
        <v>3059</v>
      </c>
      <c r="J30" s="2995" t="s">
        <v>1369</v>
      </c>
    </row>
    <row r="31" spans="1:10">
      <c r="A31" s="2954">
        <v>28</v>
      </c>
      <c r="B31" s="2954" t="s">
        <v>3112</v>
      </c>
      <c r="C31" s="2954" t="s">
        <v>3055</v>
      </c>
      <c r="D31" s="2955" t="s">
        <v>3113</v>
      </c>
      <c r="E31" s="2956">
        <v>10</v>
      </c>
      <c r="F31" s="2956" t="s">
        <v>3057</v>
      </c>
      <c r="G31" s="2959">
        <v>81.84</v>
      </c>
      <c r="H31" s="2954" t="s">
        <v>3058</v>
      </c>
      <c r="I31" s="2954" t="s">
        <v>3059</v>
      </c>
      <c r="J31" s="2995" t="s">
        <v>1369</v>
      </c>
    </row>
    <row r="32" spans="1:10">
      <c r="A32" s="2954">
        <v>29</v>
      </c>
      <c r="B32" s="2954" t="s">
        <v>3114</v>
      </c>
      <c r="C32" s="2954" t="s">
        <v>3055</v>
      </c>
      <c r="D32" s="2955" t="s">
        <v>3115</v>
      </c>
      <c r="E32" s="2956">
        <v>10</v>
      </c>
      <c r="F32" s="2956" t="s">
        <v>3057</v>
      </c>
      <c r="G32" s="2959">
        <v>84.14</v>
      </c>
      <c r="H32" s="2954" t="s">
        <v>3058</v>
      </c>
      <c r="I32" s="2954" t="s">
        <v>3059</v>
      </c>
      <c r="J32" s="2995" t="s">
        <v>1369</v>
      </c>
    </row>
    <row r="33" spans="1:10">
      <c r="A33" s="2954">
        <v>30</v>
      </c>
      <c r="B33" s="2954" t="s">
        <v>3116</v>
      </c>
      <c r="C33" s="2954" t="s">
        <v>3055</v>
      </c>
      <c r="D33" s="2955" t="s">
        <v>3117</v>
      </c>
      <c r="E33" s="2956">
        <v>10</v>
      </c>
      <c r="F33" s="2956" t="s">
        <v>3057</v>
      </c>
      <c r="G33" s="2959">
        <v>59.44</v>
      </c>
      <c r="H33" s="2954" t="s">
        <v>3058</v>
      </c>
      <c r="I33" s="2954" t="s">
        <v>3059</v>
      </c>
      <c r="J33" s="2995" t="s">
        <v>1369</v>
      </c>
    </row>
    <row r="34" spans="1:10">
      <c r="A34" s="2954">
        <v>31</v>
      </c>
      <c r="B34" s="2954" t="s">
        <v>3118</v>
      </c>
      <c r="C34" s="2954" t="s">
        <v>3055</v>
      </c>
      <c r="D34" s="2955" t="s">
        <v>3119</v>
      </c>
      <c r="E34" s="2956">
        <v>10</v>
      </c>
      <c r="F34" s="2956" t="s">
        <v>3057</v>
      </c>
      <c r="G34" s="2959">
        <v>63.96</v>
      </c>
      <c r="H34" s="2954" t="s">
        <v>3058</v>
      </c>
      <c r="I34" s="2954" t="s">
        <v>3059</v>
      </c>
      <c r="J34" s="2995" t="s">
        <v>1369</v>
      </c>
    </row>
    <row r="35" spans="1:10">
      <c r="A35" s="2954">
        <v>32</v>
      </c>
      <c r="B35" s="2954" t="s">
        <v>3120</v>
      </c>
      <c r="C35" s="2954" t="s">
        <v>3055</v>
      </c>
      <c r="D35" s="2955" t="s">
        <v>3121</v>
      </c>
      <c r="E35" s="2956">
        <v>10</v>
      </c>
      <c r="F35" s="2956" t="s">
        <v>3057</v>
      </c>
      <c r="G35" s="2959">
        <v>61.34</v>
      </c>
      <c r="H35" s="2954" t="s">
        <v>3058</v>
      </c>
      <c r="I35" s="2954" t="s">
        <v>3059</v>
      </c>
      <c r="J35" s="2995" t="s">
        <v>1369</v>
      </c>
    </row>
    <row r="36" spans="1:10">
      <c r="A36" s="2954">
        <v>33</v>
      </c>
      <c r="B36" s="2954" t="s">
        <v>3122</v>
      </c>
      <c r="C36" s="2954" t="s">
        <v>3055</v>
      </c>
      <c r="D36" s="2955" t="s">
        <v>3123</v>
      </c>
      <c r="E36" s="2956">
        <v>10</v>
      </c>
      <c r="F36" s="2956" t="s">
        <v>3057</v>
      </c>
      <c r="G36" s="2959">
        <v>93.61</v>
      </c>
      <c r="H36" s="2954" t="s">
        <v>3058</v>
      </c>
      <c r="I36" s="2954" t="s">
        <v>3059</v>
      </c>
      <c r="J36" s="2995" t="s">
        <v>1369</v>
      </c>
    </row>
    <row r="37" spans="1:10">
      <c r="A37" s="2954">
        <v>34</v>
      </c>
      <c r="B37" s="2954" t="s">
        <v>3124</v>
      </c>
      <c r="C37" s="2954" t="s">
        <v>3055</v>
      </c>
      <c r="D37" s="2955" t="s">
        <v>3125</v>
      </c>
      <c r="E37" s="2956">
        <v>10</v>
      </c>
      <c r="F37" s="2956" t="s">
        <v>3057</v>
      </c>
      <c r="G37" s="2959">
        <v>4.62</v>
      </c>
      <c r="H37" s="2954" t="s">
        <v>3058</v>
      </c>
      <c r="I37" s="2954" t="s">
        <v>3059</v>
      </c>
      <c r="J37" s="2995" t="s">
        <v>1369</v>
      </c>
    </row>
    <row r="38" spans="1:10">
      <c r="A38" s="2954">
        <v>35</v>
      </c>
      <c r="B38" s="2954" t="s">
        <v>3126</v>
      </c>
      <c r="C38" s="2954" t="s">
        <v>3055</v>
      </c>
      <c r="D38" s="2955" t="s">
        <v>3127</v>
      </c>
      <c r="E38" s="2958">
        <v>1</v>
      </c>
      <c r="F38" s="2962" t="s">
        <v>3128</v>
      </c>
      <c r="G38" s="2957">
        <v>19.98</v>
      </c>
      <c r="H38" s="2954" t="s">
        <v>1369</v>
      </c>
      <c r="I38" s="2963" t="s">
        <v>3129</v>
      </c>
      <c r="J38" s="2995" t="s">
        <v>1369</v>
      </c>
    </row>
    <row r="39" spans="1:10" s="2960" customFormat="1">
      <c r="A39" s="2964" t="s">
        <v>37</v>
      </c>
      <c r="B39" s="2965"/>
      <c r="C39" s="2965"/>
      <c r="D39" s="2964"/>
      <c r="E39" s="2964"/>
      <c r="F39" s="2964"/>
      <c r="G39" s="2966">
        <f>SUM(G4:G38)</f>
        <v>3095.6800000000007</v>
      </c>
      <c r="H39" s="2964"/>
      <c r="I39" s="2964"/>
    </row>
    <row r="40" spans="1:10">
      <c r="G40" s="2961">
        <f>G39-G38</f>
        <v>3075.7000000000007</v>
      </c>
    </row>
    <row r="41" spans="1:10">
      <c r="G41" s="2961"/>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23" t="s">
        <v>121</v>
      </c>
    </row>
    <row r="43" spans="1:7" ht="13.5" customHeight="1">
      <c r="A43" s="947" t="s">
        <v>792</v>
      </c>
      <c r="B43" s="259" t="s">
        <v>1061</v>
      </c>
      <c r="C43" s="282">
        <f ca="1">ROUND(IF('数据-取费表'!B22&lt;=1,C39*F22*'数据-取费表'!B21/2,C39*(POWER((1+F22),'数据-取费表'!B21/2)-1)),0)</f>
        <v>1</v>
      </c>
      <c r="D43" s="282"/>
      <c r="E43" s="282"/>
      <c r="F43" s="283"/>
      <c r="G43" s="3224"/>
    </row>
    <row r="44" spans="1:7" ht="13.5" customHeight="1">
      <c r="A44" s="947" t="s">
        <v>793</v>
      </c>
      <c r="B44" s="259" t="s">
        <v>1063</v>
      </c>
      <c r="C44" s="282">
        <f ca="1">ROUND(IF('数据-取费表'!B22&lt;=1,C40*F22*'数据-取费表'!B21/2,C40*(POWER((1+F22),'数据-取费表'!B21/2)-1)),4)</f>
        <v>1E-3</v>
      </c>
      <c r="D44" s="282"/>
      <c r="E44" s="282"/>
      <c r="F44" s="283"/>
      <c r="G44" s="3225"/>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71" t="s">
        <v>156</v>
      </c>
      <c r="B1" s="3371"/>
      <c r="C1" s="3371"/>
      <c r="D1" s="3371"/>
      <c r="E1" s="3371"/>
      <c r="F1" s="337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72" t="s">
        <v>169</v>
      </c>
      <c r="B2" s="3372"/>
      <c r="C2" s="3372"/>
      <c r="D2" s="3372"/>
      <c r="E2" s="3372"/>
      <c r="F2" s="337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7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71" t="s">
        <v>868</v>
      </c>
      <c r="B1" s="3371"/>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L24" sqref="L24"/>
    </sheetView>
  </sheetViews>
  <sheetFormatPr defaultColWidth="9" defaultRowHeight="13.5"/>
  <cols>
    <col min="1" max="1" width="9" style="2978"/>
    <col min="2" max="2" width="11.625" style="2978" bestFit="1" customWidth="1"/>
    <col min="3" max="3" width="10.5" style="2978" bestFit="1" customWidth="1"/>
    <col min="4" max="4" width="13.5" style="2978" customWidth="1"/>
    <col min="5" max="11" width="9" style="2978"/>
    <col min="12" max="12" width="13.25" style="2978" customWidth="1"/>
    <col min="13" max="16384" width="9" style="2978"/>
  </cols>
  <sheetData>
    <row r="1" spans="1:15" ht="14.25" thickBot="1">
      <c r="A1" s="3008"/>
      <c r="B1" s="3375" t="s">
        <v>3267</v>
      </c>
      <c r="C1" s="3376"/>
      <c r="D1" s="3376"/>
      <c r="E1" s="3376"/>
      <c r="K1" s="2996" t="s">
        <v>3260</v>
      </c>
      <c r="L1" s="2997">
        <v>43584</v>
      </c>
      <c r="M1" s="2998"/>
      <c r="N1" s="2998"/>
      <c r="O1" s="2998"/>
    </row>
    <row r="2" spans="1:15" ht="24">
      <c r="A2" s="3008"/>
      <c r="B2" s="3009" t="s">
        <v>3211</v>
      </c>
      <c r="C2" s="3009" t="s">
        <v>3205</v>
      </c>
      <c r="D2" s="3009" t="s">
        <v>3206</v>
      </c>
      <c r="E2" s="3009" t="s">
        <v>3212</v>
      </c>
      <c r="H2" s="2980" t="s">
        <v>3259</v>
      </c>
      <c r="K2" s="2999" t="s">
        <v>3261</v>
      </c>
      <c r="L2" s="3000" t="s">
        <v>3262</v>
      </c>
      <c r="M2" s="3001" t="s">
        <v>3263</v>
      </c>
      <c r="N2" s="3000" t="s">
        <v>3264</v>
      </c>
      <c r="O2" s="3002" t="s">
        <v>3265</v>
      </c>
    </row>
    <row r="3" spans="1:15" ht="14.25" thickBot="1">
      <c r="A3" s="3008"/>
      <c r="B3" s="3010">
        <v>43584</v>
      </c>
      <c r="C3" s="3010">
        <v>43975</v>
      </c>
      <c r="D3" s="3008">
        <f>4300000*H3</f>
        <v>4601000</v>
      </c>
      <c r="E3" s="3008">
        <v>3075.7</v>
      </c>
      <c r="H3" s="2981">
        <v>1.07</v>
      </c>
      <c r="I3" s="2978">
        <f>D3/H3/365/$E$3</f>
        <v>3.8302896634288848</v>
      </c>
      <c r="K3" s="3003">
        <v>70</v>
      </c>
      <c r="L3" s="3004">
        <v>43975</v>
      </c>
      <c r="M3" s="3005">
        <f>ROUNDDOWN(MIN((L3-L1)/365,K3),2)</f>
        <v>1.07</v>
      </c>
      <c r="N3" s="3006">
        <f>IF(ISERROR(ROUND(POWER(1+O3,K3-M3)*(POWER(1+O3,M3)-1)/(POWER(1+O3,K3)-1),3)),0,ROUND(POWER(1+O3,K3-M3)*(POWER(1+O3,M3)-1)/(POWER(1+O3,K3)-1),3))</f>
        <v>4.3999999999999997E-2</v>
      </c>
      <c r="O3" s="3007">
        <v>0.04</v>
      </c>
    </row>
    <row r="4" spans="1:15">
      <c r="A4" s="3008"/>
      <c r="B4" s="3010">
        <v>43976</v>
      </c>
      <c r="C4" s="3010">
        <v>44705</v>
      </c>
      <c r="D4" s="3008">
        <f>4515000*H4</f>
        <v>9030000</v>
      </c>
      <c r="E4" s="3008"/>
      <c r="H4" s="2978">
        <v>2</v>
      </c>
      <c r="I4" s="2978">
        <f t="shared" ref="I4:I6" si="0">D4/H4/365/$E$3</f>
        <v>4.0218041466003287</v>
      </c>
    </row>
    <row r="5" spans="1:15">
      <c r="A5" s="3008"/>
      <c r="B5" s="3010">
        <v>44706</v>
      </c>
      <c r="C5" s="3010">
        <v>45436</v>
      </c>
      <c r="D5" s="3008">
        <f>4740750*H5</f>
        <v>9481500</v>
      </c>
      <c r="E5" s="3008"/>
      <c r="H5" s="2978">
        <v>2</v>
      </c>
      <c r="I5" s="2978">
        <f t="shared" si="0"/>
        <v>4.2228943539303456</v>
      </c>
    </row>
    <row r="6" spans="1:15">
      <c r="A6" s="3008"/>
      <c r="B6" s="3010">
        <v>45437</v>
      </c>
      <c r="C6" s="3010">
        <v>46166</v>
      </c>
      <c r="D6" s="3008">
        <f>4977787.5*H6</f>
        <v>9955575</v>
      </c>
      <c r="E6" s="3008"/>
      <c r="H6" s="2978">
        <v>2</v>
      </c>
      <c r="I6" s="2978">
        <f t="shared" si="0"/>
        <v>4.4340390716268621</v>
      </c>
    </row>
    <row r="7" spans="1:15">
      <c r="A7" s="3008"/>
      <c r="B7" s="3010">
        <v>46167</v>
      </c>
      <c r="C7" s="3010">
        <v>46897</v>
      </c>
      <c r="D7" s="3008">
        <f>5226676.88*H7</f>
        <v>10453353.76</v>
      </c>
      <c r="E7" s="3008"/>
      <c r="F7" s="2980" t="s">
        <v>3266</v>
      </c>
      <c r="H7" s="2978">
        <v>2</v>
      </c>
      <c r="I7" s="2978">
        <f>D7/H7/365/$E$3</f>
        <v>4.655741029662031</v>
      </c>
    </row>
    <row r="8" spans="1:15">
      <c r="A8" s="3009" t="s">
        <v>3210</v>
      </c>
      <c r="B8" s="3008"/>
      <c r="C8" s="3008"/>
      <c r="D8" s="3008">
        <f>SUM(D3:D7)</f>
        <v>43521428.759999998</v>
      </c>
      <c r="E8" s="3008"/>
      <c r="F8" s="2978">
        <f>ROUND(D8/E3/365/'数据-取费表'!AF6,2)</f>
        <v>4.2699999999999996</v>
      </c>
      <c r="H8" s="2981">
        <f>SUM(H3:H7)</f>
        <v>9.07</v>
      </c>
    </row>
    <row r="9" spans="1:15">
      <c r="A9" s="3011"/>
      <c r="B9" s="3012"/>
      <c r="C9" s="3012"/>
      <c r="D9" s="3012"/>
      <c r="E9" s="3012"/>
      <c r="H9" s="2981"/>
    </row>
    <row r="10" spans="1:15">
      <c r="B10" s="3008"/>
      <c r="C10" s="3009" t="s">
        <v>3270</v>
      </c>
      <c r="D10" s="3009" t="s">
        <v>3269</v>
      </c>
      <c r="E10" s="3009" t="s">
        <v>3271</v>
      </c>
    </row>
    <row r="11" spans="1:15">
      <c r="B11" s="3009" t="s">
        <v>3268</v>
      </c>
      <c r="C11" s="3008">
        <v>1</v>
      </c>
      <c r="D11" s="3008">
        <v>7.5</v>
      </c>
      <c r="E11" s="3008">
        <v>1</v>
      </c>
      <c r="H11" s="2978">
        <f>D8/H8/10000</f>
        <v>479.83934685777285</v>
      </c>
      <c r="J11" s="2978">
        <f>2028-2007</f>
        <v>21</v>
      </c>
    </row>
    <row r="12" spans="1:15">
      <c r="B12" s="3009"/>
      <c r="C12" s="3008">
        <v>2</v>
      </c>
      <c r="D12" s="3028">
        <v>5</v>
      </c>
      <c r="E12" s="3008">
        <v>0.65</v>
      </c>
      <c r="J12" s="3014">
        <f>(60-21)/60</f>
        <v>0.65</v>
      </c>
    </row>
    <row r="13" spans="1:15">
      <c r="B13" s="3009"/>
      <c r="C13" s="3013" t="s">
        <v>3272</v>
      </c>
      <c r="D13" s="3008">
        <f>ROUND(D11*E13,2)</f>
        <v>3</v>
      </c>
      <c r="E13" s="3008">
        <f>典型户型修正!E18/100</f>
        <v>0.4</v>
      </c>
    </row>
    <row r="14" spans="1:15">
      <c r="B14" s="2980"/>
    </row>
    <row r="15" spans="1:15">
      <c r="B15" s="2980"/>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L26" sqref="L26"/>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7" t="s">
        <v>3276</v>
      </c>
      <c r="B1" s="3377"/>
      <c r="C1" s="3377"/>
      <c r="D1" s="3377"/>
    </row>
    <row r="2" spans="1:4" ht="14.25">
      <c r="A2" s="2987" t="s">
        <v>3046</v>
      </c>
      <c r="B2" s="2987" t="s">
        <v>3277</v>
      </c>
      <c r="C2" s="2988" t="s">
        <v>3228</v>
      </c>
      <c r="D2" s="2988" t="s">
        <v>3229</v>
      </c>
    </row>
    <row r="3" spans="1:4" ht="14.25">
      <c r="A3" s="2987">
        <v>1</v>
      </c>
      <c r="B3" s="2987" t="s">
        <v>3230</v>
      </c>
      <c r="C3" s="2989">
        <v>141.24</v>
      </c>
      <c r="D3" s="2990">
        <v>1242851.2668000001</v>
      </c>
    </row>
    <row r="4" spans="1:4" ht="14.25">
      <c r="A4" s="2987">
        <v>2</v>
      </c>
      <c r="B4" s="2987" t="s">
        <v>3231</v>
      </c>
      <c r="C4" s="2989">
        <v>32.51</v>
      </c>
      <c r="D4" s="2990">
        <v>286074.02069999999</v>
      </c>
    </row>
    <row r="5" spans="1:4" ht="14.25">
      <c r="A5" s="2987">
        <v>3</v>
      </c>
      <c r="B5" s="2987" t="s">
        <v>3278</v>
      </c>
      <c r="C5" s="2989">
        <v>43.29</v>
      </c>
      <c r="D5" s="2990">
        <v>380933.38529999997</v>
      </c>
    </row>
    <row r="6" spans="1:4" ht="14.25">
      <c r="A6" s="2987">
        <v>4</v>
      </c>
      <c r="B6" s="2987" t="s">
        <v>3279</v>
      </c>
      <c r="C6" s="2989">
        <v>41.79</v>
      </c>
      <c r="D6" s="2990">
        <v>367734.03029999998</v>
      </c>
    </row>
    <row r="7" spans="1:4" ht="14.25">
      <c r="A7" s="2987">
        <v>5</v>
      </c>
      <c r="B7" s="2987" t="s">
        <v>3232</v>
      </c>
      <c r="C7" s="2989">
        <v>55.44</v>
      </c>
      <c r="D7" s="2990">
        <v>487848.16079999995</v>
      </c>
    </row>
    <row r="8" spans="1:4" ht="14.25">
      <c r="A8" s="2987">
        <v>6</v>
      </c>
      <c r="B8" s="2987" t="s">
        <v>3280</v>
      </c>
      <c r="C8" s="2989">
        <v>37.15</v>
      </c>
      <c r="D8" s="2990">
        <v>326904.02549999999</v>
      </c>
    </row>
    <row r="9" spans="1:4" ht="14.25">
      <c r="A9" s="2987">
        <v>7</v>
      </c>
      <c r="B9" s="2987" t="s">
        <v>3233</v>
      </c>
      <c r="C9" s="2989">
        <v>31.91</v>
      </c>
      <c r="D9" s="2990">
        <v>280794.27869999997</v>
      </c>
    </row>
    <row r="10" spans="1:4" ht="14.25">
      <c r="A10" s="2987">
        <v>8</v>
      </c>
      <c r="B10" s="2987" t="s">
        <v>3234</v>
      </c>
      <c r="C10" s="2989">
        <v>182.1</v>
      </c>
      <c r="D10" s="2990">
        <v>1602401.6969999999</v>
      </c>
    </row>
    <row r="11" spans="1:4" ht="14.25">
      <c r="A11" s="2987">
        <v>9</v>
      </c>
      <c r="B11" s="2987" t="s">
        <v>3281</v>
      </c>
      <c r="C11" s="2989">
        <v>264.62</v>
      </c>
      <c r="D11" s="2990">
        <v>2328542.2133999998</v>
      </c>
    </row>
    <row r="12" spans="1:4" ht="14.25">
      <c r="A12" s="2987">
        <v>10</v>
      </c>
      <c r="B12" s="2987" t="s">
        <v>3282</v>
      </c>
      <c r="C12" s="2989">
        <v>259</v>
      </c>
      <c r="D12" s="2990">
        <v>2279088.63</v>
      </c>
    </row>
    <row r="13" spans="1:4" ht="14.25">
      <c r="A13" s="2987">
        <v>11</v>
      </c>
      <c r="B13" s="2987" t="s">
        <v>3235</v>
      </c>
      <c r="C13" s="2989">
        <v>254.27</v>
      </c>
      <c r="D13" s="2990">
        <v>2237466.6639</v>
      </c>
    </row>
    <row r="14" spans="1:4" ht="14.25">
      <c r="A14" s="2987">
        <v>12</v>
      </c>
      <c r="B14" s="2987" t="s">
        <v>3236</v>
      </c>
      <c r="C14" s="2989">
        <v>82.76</v>
      </c>
      <c r="D14" s="2990">
        <v>728252.41320000007</v>
      </c>
    </row>
    <row r="15" spans="1:4" ht="14.25">
      <c r="A15" s="2987">
        <v>13</v>
      </c>
      <c r="B15" s="2987" t="s">
        <v>3237</v>
      </c>
      <c r="C15" s="2989">
        <v>81.84</v>
      </c>
      <c r="D15" s="2990">
        <v>720156.8088</v>
      </c>
    </row>
    <row r="16" spans="1:4" ht="14.25">
      <c r="A16" s="2987">
        <v>14</v>
      </c>
      <c r="B16" s="2987" t="s">
        <v>3238</v>
      </c>
      <c r="C16" s="2989">
        <v>84.14</v>
      </c>
      <c r="D16" s="2990">
        <v>740395.81979999994</v>
      </c>
    </row>
    <row r="17" spans="1:8" ht="14.25">
      <c r="A17" s="2987">
        <v>15</v>
      </c>
      <c r="B17" s="2987" t="s">
        <v>3283</v>
      </c>
      <c r="C17" s="2989">
        <v>59.44</v>
      </c>
      <c r="D17" s="2990">
        <v>523046.44079999998</v>
      </c>
    </row>
    <row r="18" spans="1:8" ht="14.25">
      <c r="A18" s="2987">
        <v>16</v>
      </c>
      <c r="B18" s="2987" t="s">
        <v>3284</v>
      </c>
      <c r="C18" s="2989">
        <v>63.96</v>
      </c>
      <c r="D18" s="2990">
        <v>562820.49719999998</v>
      </c>
    </row>
    <row r="19" spans="1:8" ht="14.25">
      <c r="A19" s="2987">
        <v>17</v>
      </c>
      <c r="B19" s="2987" t="s">
        <v>3239</v>
      </c>
      <c r="C19" s="2989">
        <v>61.34</v>
      </c>
      <c r="D19" s="2990">
        <v>539765.62380000006</v>
      </c>
    </row>
    <row r="20" spans="1:8" ht="14.25">
      <c r="A20" s="2987">
        <v>18</v>
      </c>
      <c r="B20" s="2987" t="s">
        <v>3285</v>
      </c>
      <c r="C20" s="2989">
        <v>93.61</v>
      </c>
      <c r="D20" s="2990">
        <v>823727.74769999995</v>
      </c>
    </row>
    <row r="21" spans="1:8" ht="14.25">
      <c r="A21" s="2987">
        <v>19</v>
      </c>
      <c r="B21" s="2987" t="s">
        <v>3240</v>
      </c>
      <c r="C21" s="2989">
        <v>4.62</v>
      </c>
      <c r="D21" s="2990">
        <v>40654.013399999996</v>
      </c>
    </row>
    <row r="22" spans="1:8" s="3022" customFormat="1" ht="14.25">
      <c r="A22" s="3018">
        <v>20</v>
      </c>
      <c r="B22" s="3019" t="s">
        <v>3286</v>
      </c>
      <c r="C22" s="3020">
        <v>36.04</v>
      </c>
      <c r="D22" s="3021">
        <v>317459.06080000004</v>
      </c>
      <c r="F22" s="3023"/>
    </row>
    <row r="23" spans="1:8" ht="14.25">
      <c r="A23" s="2987">
        <v>21</v>
      </c>
      <c r="B23" s="2987" t="s">
        <v>3241</v>
      </c>
      <c r="C23" s="2988">
        <v>31.28</v>
      </c>
      <c r="D23" s="2991">
        <v>275530.50560000003</v>
      </c>
    </row>
    <row r="24" spans="1:8" ht="14.25">
      <c r="A24" s="2987">
        <v>22</v>
      </c>
      <c r="B24" s="2987" t="s">
        <v>3242</v>
      </c>
      <c r="C24" s="2988">
        <v>64.66</v>
      </c>
      <c r="D24" s="2991">
        <v>569558.90319999994</v>
      </c>
    </row>
    <row r="25" spans="1:8" ht="14.25">
      <c r="A25" s="2987">
        <v>23</v>
      </c>
      <c r="B25" s="2987" t="s">
        <v>3243</v>
      </c>
      <c r="C25" s="2988">
        <v>70.14</v>
      </c>
      <c r="D25" s="2991">
        <v>617829.59279999998</v>
      </c>
    </row>
    <row r="26" spans="1:8" ht="22.5">
      <c r="A26" s="2987">
        <v>24</v>
      </c>
      <c r="B26" s="2987" t="s">
        <v>3244</v>
      </c>
      <c r="C26" s="2988">
        <v>71.08</v>
      </c>
      <c r="D26" s="2991">
        <v>626109.60160000005</v>
      </c>
      <c r="G26" s="2955" t="s">
        <v>3127</v>
      </c>
      <c r="H26" s="2957">
        <v>19.98</v>
      </c>
    </row>
    <row r="27" spans="1:8" ht="22.5">
      <c r="A27" s="2987">
        <v>25</v>
      </c>
      <c r="B27" s="2987" t="s">
        <v>3245</v>
      </c>
      <c r="C27" s="2988">
        <v>129.80000000000001</v>
      </c>
      <c r="D27" s="2991">
        <v>1143345.8960000002</v>
      </c>
      <c r="G27" s="2955" t="s">
        <v>3061</v>
      </c>
      <c r="H27" s="2957">
        <v>36.04</v>
      </c>
    </row>
    <row r="28" spans="1:8" ht="14.25">
      <c r="A28" s="2987">
        <v>26</v>
      </c>
      <c r="B28" s="2987" t="s">
        <v>3246</v>
      </c>
      <c r="C28" s="2988">
        <v>75.27</v>
      </c>
      <c r="D28" s="2991">
        <v>663017.30039999995</v>
      </c>
    </row>
    <row r="29" spans="1:8" ht="14.25">
      <c r="A29" s="2987">
        <v>27</v>
      </c>
      <c r="B29" s="2987" t="s">
        <v>3247</v>
      </c>
      <c r="C29" s="2988">
        <v>70.739999999999995</v>
      </c>
      <c r="D29" s="2991">
        <v>623114.70479999995</v>
      </c>
    </row>
    <row r="30" spans="1:8" ht="14.25">
      <c r="A30" s="2987">
        <v>28</v>
      </c>
      <c r="B30" s="2987" t="s">
        <v>3248</v>
      </c>
      <c r="C30" s="2988">
        <v>225.74</v>
      </c>
      <c r="D30" s="2991">
        <v>1988435.3048000003</v>
      </c>
    </row>
    <row r="31" spans="1:8" ht="14.25">
      <c r="A31" s="2987">
        <v>29</v>
      </c>
      <c r="B31" s="2987" t="s">
        <v>3249</v>
      </c>
      <c r="C31" s="2988">
        <v>88.24</v>
      </c>
      <c r="D31" s="2991">
        <v>777263.80480000004</v>
      </c>
    </row>
    <row r="32" spans="1:8" ht="14.25">
      <c r="A32" s="2987">
        <v>30</v>
      </c>
      <c r="B32" s="2987" t="s">
        <v>3250</v>
      </c>
      <c r="C32" s="2988">
        <v>81.84</v>
      </c>
      <c r="D32" s="2991">
        <v>720889.27680000011</v>
      </c>
    </row>
    <row r="33" spans="1:6" ht="14.25">
      <c r="A33" s="2987">
        <v>31</v>
      </c>
      <c r="B33" s="2987" t="s">
        <v>3251</v>
      </c>
      <c r="C33" s="2988">
        <v>63.96</v>
      </c>
      <c r="D33" s="2991">
        <v>563392.93920000002</v>
      </c>
    </row>
    <row r="34" spans="1:6" ht="14.25">
      <c r="A34" s="2987">
        <v>32</v>
      </c>
      <c r="B34" s="2987" t="s">
        <v>3252</v>
      </c>
      <c r="C34" s="2988">
        <v>63.96</v>
      </c>
      <c r="D34" s="2991">
        <v>563392.93920000002</v>
      </c>
    </row>
    <row r="35" spans="1:6" ht="14.25">
      <c r="A35" s="2987">
        <v>33</v>
      </c>
      <c r="B35" s="2987" t="s">
        <v>3253</v>
      </c>
      <c r="C35" s="2988">
        <v>63.96</v>
      </c>
      <c r="D35" s="2991">
        <v>563392.93920000002</v>
      </c>
    </row>
    <row r="36" spans="1:6" ht="14.25">
      <c r="A36" s="2987">
        <v>34</v>
      </c>
      <c r="B36" s="2987" t="s">
        <v>3254</v>
      </c>
      <c r="C36" s="2988">
        <v>63.96</v>
      </c>
      <c r="D36" s="2991">
        <v>563392.93920000002</v>
      </c>
    </row>
    <row r="37" spans="1:6" s="3022" customFormat="1" ht="14.25">
      <c r="A37" s="3018">
        <v>35</v>
      </c>
      <c r="B37" s="3024" t="s">
        <v>3287</v>
      </c>
      <c r="C37" s="3020">
        <v>19.98</v>
      </c>
      <c r="D37" s="3025">
        <v>175994.28954</v>
      </c>
    </row>
    <row r="38" spans="1:6">
      <c r="C38" s="2992"/>
      <c r="D38" s="2993">
        <f>SUM(D3:D37)</f>
        <v>27251577.735039998</v>
      </c>
    </row>
    <row r="39" spans="1:6" ht="14.25">
      <c r="D39" s="3026">
        <f>ROUND(D38/10000,0)</f>
        <v>2725</v>
      </c>
      <c r="F39" s="2993"/>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78"/>
      <c r="C1" s="1832" t="s">
        <v>3203</v>
      </c>
      <c r="D1" s="1815" t="s">
        <v>70</v>
      </c>
      <c r="E1" s="1816" t="s">
        <v>1379</v>
      </c>
      <c r="F1" s="1279">
        <f ca="1">J53</f>
        <v>24.97</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1507</v>
      </c>
      <c r="B2" s="1839">
        <f ca="1">C40+J29+L46</f>
        <v>16</v>
      </c>
      <c r="C2" s="1840" t="s">
        <v>1508</v>
      </c>
      <c r="D2" s="1840"/>
      <c r="E2" s="1841"/>
      <c r="F2" s="1842"/>
      <c r="G2" s="1843"/>
      <c r="H2" s="1835"/>
      <c r="I2" s="1835"/>
      <c r="J2" s="1835"/>
      <c r="K2" s="1836"/>
      <c r="L2" s="1835"/>
      <c r="M2" s="1835"/>
    </row>
    <row r="3" spans="1:37" ht="18" customHeight="1" thickBot="1">
      <c r="A3" s="1844" t="s">
        <v>1509</v>
      </c>
      <c r="B3" s="1845">
        <f ca="1">IF(ISERROR(B2*10000/F43),0,ROUND(B2*10000/F43,0))</f>
        <v>8008</v>
      </c>
      <c r="C3" s="1840" t="s">
        <v>1510</v>
      </c>
      <c r="D3" s="1840"/>
      <c r="E3" s="1841"/>
      <c r="F3" s="1842"/>
      <c r="G3" s="1843"/>
      <c r="H3" s="740"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8">
        <f ca="1">C6+C10+C12</f>
        <v>2</v>
      </c>
      <c r="D5" s="1817" t="s">
        <v>1394</v>
      </c>
      <c r="E5" s="1289"/>
      <c r="F5" s="1290"/>
      <c r="G5" s="1846"/>
      <c r="H5" s="344">
        <v>1</v>
      </c>
      <c r="I5" s="345" t="s">
        <v>1393</v>
      </c>
      <c r="J5" s="1288">
        <f ca="1">J6+J10+J12</f>
        <v>0</v>
      </c>
      <c r="K5" s="1817" t="s">
        <v>1394</v>
      </c>
      <c r="L5" s="1289"/>
      <c r="M5" s="1290"/>
    </row>
    <row r="6" spans="1:37" ht="18" customHeight="1">
      <c r="A6" s="1287" t="s">
        <v>1032</v>
      </c>
      <c r="B6" s="3360" t="s">
        <v>1395</v>
      </c>
      <c r="C6" s="1292">
        <f ca="1">ROUND(F6*F8*F7*(1-F9)/10000,0)</f>
        <v>2</v>
      </c>
      <c r="D6" s="164" t="s">
        <v>3022</v>
      </c>
      <c r="E6" s="347" t="s">
        <v>1397</v>
      </c>
      <c r="F6" s="348">
        <f ca="1">INDIRECT("'数据-取费表'!u"&amp;$G$1)</f>
        <v>3</v>
      </c>
      <c r="G6" s="1846"/>
      <c r="H6" s="1287" t="s">
        <v>1032</v>
      </c>
      <c r="I6" s="3360" t="s">
        <v>1395</v>
      </c>
      <c r="J6" s="346">
        <f ca="1">ROUND(M6*M8*M7*(1-M9)/10000,0)</f>
        <v>0</v>
      </c>
      <c r="K6" s="164" t="s">
        <v>3021</v>
      </c>
      <c r="L6" s="347" t="s">
        <v>1397</v>
      </c>
      <c r="M6" s="348">
        <f ca="1">INDIRECT("'数据-取费表'!z"&amp;$G$1)</f>
        <v>0</v>
      </c>
    </row>
    <row r="7" spans="1:37" ht="18" customHeight="1">
      <c r="A7" s="1291"/>
      <c r="B7" s="3361"/>
      <c r="C7" s="1293"/>
      <c r="D7" s="352"/>
      <c r="E7" s="2947" t="s">
        <v>1398</v>
      </c>
      <c r="F7" s="348">
        <f ca="1">IF(INDIRECT("'数据-取费表'!ah"&amp;$G$1)="",INDIRECT("'数据-取费表'!k"&amp;$G$1),INDIRECT("'数据-取费表'!ah"&amp;$G$1))</f>
        <v>19.98</v>
      </c>
      <c r="G7" s="1846"/>
      <c r="H7" s="349"/>
      <c r="I7" s="3361"/>
      <c r="J7" s="351"/>
      <c r="K7" s="352"/>
      <c r="L7" s="347" t="s">
        <v>1398</v>
      </c>
      <c r="M7" s="348">
        <f ca="1">F7</f>
        <v>19.98</v>
      </c>
    </row>
    <row r="8" spans="1:37" ht="18" customHeight="1">
      <c r="A8" s="349"/>
      <c r="B8" s="3361"/>
      <c r="C8" s="351"/>
      <c r="D8" s="352"/>
      <c r="E8" s="347" t="s">
        <v>1399</v>
      </c>
      <c r="F8" s="348">
        <f ca="1">INDIRECT("'数据-取费表'!ai"&amp;$G$1)</f>
        <v>365</v>
      </c>
      <c r="G8" s="1846"/>
      <c r="H8" s="349"/>
      <c r="I8" s="3361"/>
      <c r="J8" s="351"/>
      <c r="K8" s="352"/>
      <c r="L8" s="347" t="s">
        <v>1399</v>
      </c>
      <c r="M8" s="348">
        <f ca="1">INDIRECT("'数据-取费表'!ai"&amp;$G$1)</f>
        <v>365</v>
      </c>
    </row>
    <row r="9" spans="1:37" ht="18" customHeight="1">
      <c r="A9" s="349"/>
      <c r="B9" s="3362"/>
      <c r="C9" s="351"/>
      <c r="D9" s="352"/>
      <c r="E9" s="347" t="s">
        <v>1400</v>
      </c>
      <c r="F9" s="357">
        <f ca="1">INDIRECT("'数据-取费表'!w"&amp;$G$1)</f>
        <v>0.1</v>
      </c>
      <c r="G9" s="1846"/>
      <c r="H9" s="349"/>
      <c r="I9" s="3362"/>
      <c r="J9" s="351"/>
      <c r="K9" s="352"/>
      <c r="L9" s="358" t="s">
        <v>1400</v>
      </c>
      <c r="M9" s="359">
        <f ca="1">INDIRECT("'数据-取费表'!ab"&amp;$G$1)</f>
        <v>0</v>
      </c>
    </row>
    <row r="10" spans="1:37" ht="18" customHeight="1">
      <c r="A10" s="1287" t="s">
        <v>1036</v>
      </c>
      <c r="B10" s="1818" t="s">
        <v>1401</v>
      </c>
      <c r="C10" s="361">
        <f ca="1">ROUND(IF(F10="押一",C6/12*F11,IF(F10="押二",C6/12*2*F11,IF(F10="押三",C6/12*3*F11,C11*F11))),0)</f>
        <v>0</v>
      </c>
      <c r="D10" s="1819" t="s">
        <v>3030</v>
      </c>
      <c r="E10" s="358" t="s">
        <v>1402</v>
      </c>
      <c r="F10" s="2977" t="s">
        <v>3161</v>
      </c>
      <c r="G10" s="1846"/>
      <c r="H10" s="1287" t="s">
        <v>1036</v>
      </c>
      <c r="I10" s="1818" t="s">
        <v>1401</v>
      </c>
      <c r="J10" s="346">
        <f ca="1">ROUND(IF(M10="押一",J6/12*M11,IF(M10="押二",J6/12*2*M11,IF(M10="押三",J6/12*3*M11,J11*M11))),0)</f>
        <v>0</v>
      </c>
      <c r="K10" s="1819" t="s">
        <v>3030</v>
      </c>
      <c r="L10" s="358" t="s">
        <v>1402</v>
      </c>
      <c r="M10" s="1362" t="s">
        <v>1403</v>
      </c>
    </row>
    <row r="11" spans="1:37" ht="18" customHeight="1">
      <c r="A11" s="353"/>
      <c r="B11" s="1820" t="s">
        <v>1380</v>
      </c>
      <c r="C11" s="1174"/>
      <c r="D11" s="1821"/>
      <c r="E11" s="358" t="s">
        <v>1404</v>
      </c>
      <c r="F11" s="359">
        <f ca="1">'数据-取费表'!B39</f>
        <v>1.4999999999999999E-2</v>
      </c>
      <c r="G11" s="1846"/>
      <c r="H11" s="1295"/>
      <c r="I11" s="1820" t="s">
        <v>1380</v>
      </c>
      <c r="J11" s="1174"/>
      <c r="K11" s="744"/>
      <c r="L11" s="358" t="s">
        <v>1404</v>
      </c>
      <c r="M11" s="1052">
        <f ca="1">'数据-取费表'!B39</f>
        <v>1.4999999999999999E-2</v>
      </c>
    </row>
    <row r="12" spans="1:37" ht="18" customHeight="1" thickBot="1">
      <c r="A12" s="1329" t="s">
        <v>1072</v>
      </c>
      <c r="B12" s="1822" t="s">
        <v>1405</v>
      </c>
      <c r="C12" s="1330"/>
      <c r="D12" s="1331"/>
      <c r="E12" s="1336"/>
      <c r="F12" s="1332"/>
      <c r="G12" s="1846"/>
      <c r="H12" s="1329" t="s">
        <v>1072</v>
      </c>
      <c r="I12" s="1822" t="s">
        <v>1405</v>
      </c>
      <c r="J12" s="1330"/>
      <c r="K12" s="1344"/>
      <c r="L12" s="1336"/>
      <c r="M12" s="1345"/>
    </row>
    <row r="13" spans="1:37" ht="18" customHeight="1" thickTop="1">
      <c r="A13" s="1325">
        <v>2</v>
      </c>
      <c r="B13" s="1326" t="s">
        <v>1406</v>
      </c>
      <c r="C13" s="355">
        <f ca="1">ROUND(C29*F13,0)</f>
        <v>6</v>
      </c>
      <c r="D13" s="1327" t="s">
        <v>1407</v>
      </c>
      <c r="E13" s="1327" t="s">
        <v>1408</v>
      </c>
      <c r="F13" s="1328">
        <f ca="1">INDIRECT("'数据-取费表'!y"&amp;$G$1)</f>
        <v>0.8</v>
      </c>
      <c r="G13" s="1846"/>
      <c r="H13" s="1325">
        <v>2</v>
      </c>
      <c r="I13" s="1326" t="s">
        <v>1406</v>
      </c>
      <c r="J13" s="1286">
        <f ca="1">ROUND(J14*J15,0)</f>
        <v>0</v>
      </c>
      <c r="K13" s="1333" t="s">
        <v>1407</v>
      </c>
      <c r="L13" s="1847"/>
      <c r="M13" s="1848"/>
    </row>
    <row r="14" spans="1:37" ht="18" customHeight="1">
      <c r="A14" s="1197" t="s">
        <v>1031</v>
      </c>
      <c r="B14" s="347" t="s">
        <v>1409</v>
      </c>
      <c r="C14" s="363">
        <f ca="1">INDIRECT("'数据-取费表'!m"&amp;$G$1)+INDIRECT("'数据-取费表'!t"&amp;$G$1)</f>
        <v>6</v>
      </c>
      <c r="D14" s="2950" t="s">
        <v>1410</v>
      </c>
      <c r="E14" s="2949"/>
      <c r="F14" s="364"/>
      <c r="G14" s="1846"/>
      <c r="H14" s="1197" t="s">
        <v>1032</v>
      </c>
      <c r="I14" s="347" t="s">
        <v>1411</v>
      </c>
      <c r="J14" s="24">
        <f ca="1">C29</f>
        <v>8</v>
      </c>
      <c r="K14" s="2946"/>
      <c r="L14" s="975"/>
      <c r="M14" s="976"/>
    </row>
    <row r="15" spans="1:37" s="1853" customFormat="1" ht="18" customHeight="1" thickBot="1">
      <c r="A15" s="1197" t="s">
        <v>1033</v>
      </c>
      <c r="B15" s="347" t="s">
        <v>1412</v>
      </c>
      <c r="C15" s="24">
        <f ca="1">ROUND(C14*F15,0)</f>
        <v>0</v>
      </c>
      <c r="D15" s="365" t="s">
        <v>1413</v>
      </c>
      <c r="E15" s="365" t="s">
        <v>1414</v>
      </c>
      <c r="F15" s="366">
        <f>'数据-取费表'!B33</f>
        <v>0.03</v>
      </c>
      <c r="G15" s="1849"/>
      <c r="H15" s="1335" t="s">
        <v>1036</v>
      </c>
      <c r="I15" s="1336" t="s">
        <v>1408</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1381</v>
      </c>
      <c r="B16" s="347" t="s">
        <v>1415</v>
      </c>
      <c r="C16" s="24">
        <f ca="1">ROUND(INDIRECT("'数据-取费表'!m"&amp;$G$1)*F16,0)</f>
        <v>0</v>
      </c>
      <c r="D16" s="347" t="s">
        <v>1413</v>
      </c>
      <c r="E16" s="347" t="s">
        <v>1414</v>
      </c>
      <c r="F16" s="367">
        <f ca="1">IF(INDIRECT("'数据-取费表'!c"&amp;$G$1)="住宅",'数据-取费表'!B34,0)</f>
        <v>0</v>
      </c>
      <c r="G16" s="1846"/>
      <c r="H16" s="1325" t="s">
        <v>1027</v>
      </c>
      <c r="I16" s="1326" t="s">
        <v>1416</v>
      </c>
      <c r="J16" s="355">
        <f ca="1">ROUND(J17+J22+J23+J24,0)</f>
        <v>0</v>
      </c>
      <c r="K16" s="1333" t="s">
        <v>1417</v>
      </c>
      <c r="L16" s="2952"/>
      <c r="M16" s="1290"/>
    </row>
    <row r="17" spans="1:37" s="1853" customFormat="1" ht="18" customHeight="1">
      <c r="A17" s="1197" t="s">
        <v>1382</v>
      </c>
      <c r="B17" s="347" t="s">
        <v>1418</v>
      </c>
      <c r="C17" s="24">
        <f ca="1">ROUND(F17*(F43+INDIRECT("'数据-取费表'!S"&amp;$G$1))/10000,0)</f>
        <v>0</v>
      </c>
      <c r="D17" s="347" t="s">
        <v>1419</v>
      </c>
      <c r="E17" s="347" t="s">
        <v>1420</v>
      </c>
      <c r="F17" s="26">
        <f>'数据-取费表'!B35</f>
        <v>200</v>
      </c>
      <c r="G17" s="1849"/>
      <c r="H17" s="1197" t="s">
        <v>1032</v>
      </c>
      <c r="I17" s="347" t="s">
        <v>1421</v>
      </c>
      <c r="J17" s="24">
        <f ca="1">ROUND(IF(项目基本情况!B11="自然人",J5*M17,J18+J19+J20),1)</f>
        <v>0</v>
      </c>
      <c r="K17" s="2950" t="s">
        <v>1422</v>
      </c>
      <c r="L17" s="2951"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1383</v>
      </c>
      <c r="B18" s="347" t="s">
        <v>1424</v>
      </c>
      <c r="C18" s="24">
        <f ca="1">ROUND(C14*F18,0)</f>
        <v>0</v>
      </c>
      <c r="D18" s="347" t="s">
        <v>1413</v>
      </c>
      <c r="E18" s="347" t="s">
        <v>1414</v>
      </c>
      <c r="F18" s="367">
        <f>'数据-取费表'!B36</f>
        <v>1.4999999999999999E-2</v>
      </c>
      <c r="G18" s="1849"/>
      <c r="H18" s="1197" t="s">
        <v>1031</v>
      </c>
      <c r="I18" s="347" t="s">
        <v>1425</v>
      </c>
      <c r="J18" s="24">
        <f ca="1">ROUND(J5*M18/(1+'数据-取费表'!C42),2)</f>
        <v>0</v>
      </c>
      <c r="K18" s="2951" t="s">
        <v>1426</v>
      </c>
      <c r="L18" s="347" t="s">
        <v>1414</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1427</v>
      </c>
      <c r="C19" s="24">
        <f ca="1">SUM(C14:C18)</f>
        <v>6</v>
      </c>
      <c r="D19" s="140" t="s">
        <v>1428</v>
      </c>
      <c r="E19" s="2945"/>
      <c r="F19" s="26"/>
      <c r="G19" s="1846"/>
      <c r="H19" s="1197" t="s">
        <v>1033</v>
      </c>
      <c r="I19" s="347" t="s">
        <v>1429</v>
      </c>
      <c r="J19" s="24">
        <f ca="1">IF(K19="按租金收入计税",ROUND(J5*M19,2),ROUND(C29*M19*0.7,2))</f>
        <v>0</v>
      </c>
      <c r="K19" s="1823" t="s">
        <v>3162</v>
      </c>
      <c r="L19" s="347" t="s">
        <v>1414</v>
      </c>
      <c r="M19" s="367">
        <f>IF(K19="按租金收入计税",'数据-取费表'!B51,'数据-取费表'!B50)</f>
        <v>0.12</v>
      </c>
    </row>
    <row r="20" spans="1:37" s="1853" customFormat="1" ht="18" customHeight="1">
      <c r="A20" s="1197" t="s">
        <v>1036</v>
      </c>
      <c r="B20" s="347" t="s">
        <v>1431</v>
      </c>
      <c r="C20" s="24">
        <f ca="1">ROUND(C19*F20,0)</f>
        <v>0</v>
      </c>
      <c r="D20" s="369" t="s">
        <v>1432</v>
      </c>
      <c r="E20" s="347" t="s">
        <v>1414</v>
      </c>
      <c r="F20" s="367">
        <f>'数据-取费表'!B37</f>
        <v>0.02</v>
      </c>
      <c r="G20" s="1849"/>
      <c r="H20" s="1197" t="s">
        <v>1381</v>
      </c>
      <c r="I20" s="164" t="s">
        <v>1433</v>
      </c>
      <c r="J20" s="25">
        <f ca="1">ROUND(M20*M21/10000,2)</f>
        <v>0</v>
      </c>
      <c r="K20" s="370" t="s">
        <v>1434</v>
      </c>
      <c r="L20" s="347" t="s">
        <v>1435</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1436</v>
      </c>
      <c r="C21" s="24" t="s">
        <v>18</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1384</v>
      </c>
      <c r="B22" s="347" t="s">
        <v>1440</v>
      </c>
      <c r="C22" s="24"/>
      <c r="D22" s="140" t="str">
        <f>IF(F23&lt;=1,"单利计息。","复利计息。")&amp;"建造成本、管理费用、销售费用产生的利息。"</f>
        <v>复利计息。建造成本、管理费用、销售费用产生的利息。</v>
      </c>
      <c r="E22" s="2945"/>
      <c r="F22" s="26"/>
      <c r="G22" s="1846"/>
      <c r="H22" s="1197" t="s">
        <v>1036</v>
      </c>
      <c r="I22" s="347" t="s">
        <v>1441</v>
      </c>
      <c r="J22" s="24">
        <f ca="1">ROUND(J14*M22,1)</f>
        <v>0.1</v>
      </c>
      <c r="K22" s="2951" t="s">
        <v>1442</v>
      </c>
      <c r="L22" s="347" t="s">
        <v>1414</v>
      </c>
      <c r="M22" s="374">
        <f ca="1">INDIRECT("'数据-取费表'!Ak"&amp;$G$1)</f>
        <v>1.4999999999999999E-2</v>
      </c>
    </row>
    <row r="23" spans="1:37" s="1853" customFormat="1" ht="18" customHeight="1">
      <c r="A23" s="1197" t="s">
        <v>1031</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7" t="s">
        <v>1072</v>
      </c>
      <c r="I23" s="347" t="s">
        <v>1445</v>
      </c>
      <c r="J23" s="24">
        <f ca="1">ROUND(J13*M23,1)</f>
        <v>0</v>
      </c>
      <c r="K23" s="2951"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5" t="s">
        <v>1384</v>
      </c>
      <c r="I24" s="1336" t="s">
        <v>1431</v>
      </c>
      <c r="J24" s="1337">
        <f ca="1">ROUND(J5*M24,1)</f>
        <v>0</v>
      </c>
      <c r="K24" s="1338" t="s">
        <v>1451</v>
      </c>
      <c r="L24" s="1336" t="s">
        <v>1414</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1452</v>
      </c>
      <c r="B25" s="347" t="s">
        <v>1453</v>
      </c>
      <c r="C25" s="24"/>
      <c r="D25" s="140" t="s">
        <v>1454</v>
      </c>
      <c r="E25" s="2945"/>
      <c r="F25" s="26"/>
      <c r="G25" s="1846"/>
      <c r="H25" s="1325" t="s">
        <v>1028</v>
      </c>
      <c r="I25" s="1340" t="s">
        <v>1455</v>
      </c>
      <c r="J25" s="355">
        <f ca="1">J5-J16</f>
        <v>0</v>
      </c>
      <c r="K25" s="1341" t="s">
        <v>1456</v>
      </c>
      <c r="L25" s="1342"/>
      <c r="M25" s="1343"/>
    </row>
    <row r="26" spans="1:37">
      <c r="A26" s="1197" t="s">
        <v>1031</v>
      </c>
      <c r="B26" s="347" t="s">
        <v>1457</v>
      </c>
      <c r="C26" s="24">
        <f ca="1">ROUND((C19+C20)*F26,0)</f>
        <v>1</v>
      </c>
      <c r="D26" s="369" t="s">
        <v>1458</v>
      </c>
      <c r="E26" s="358" t="s">
        <v>1459</v>
      </c>
      <c r="F26" s="357">
        <f ca="1">INDIRECT("'数据-取费表'!q"&amp;$G$1)</f>
        <v>0.1</v>
      </c>
      <c r="G26" s="1846"/>
      <c r="H26" s="344" t="s">
        <v>1029</v>
      </c>
      <c r="I26" s="345" t="s">
        <v>1460</v>
      </c>
      <c r="J26" s="346">
        <f ca="1">IF(J5&lt;&gt;0,ROUND(J25*(1-((1+M28)/(1+M26))^M27)/(M26-M28),0),0)</f>
        <v>0</v>
      </c>
      <c r="K26" s="370" t="s">
        <v>1461</v>
      </c>
      <c r="L26" s="347" t="s">
        <v>1462</v>
      </c>
      <c r="M26" s="357">
        <f ca="1">INDIRECT("'数据-取费表'!I"&amp;$G$1)</f>
        <v>5.5E-2</v>
      </c>
    </row>
    <row r="27" spans="1:37" ht="18" customHeight="1">
      <c r="A27" s="1197" t="s">
        <v>1033</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7" t="s">
        <v>1034</v>
      </c>
      <c r="B28" s="347" t="s">
        <v>1467</v>
      </c>
      <c r="C28" s="24">
        <f>ROUND(F28/(1+'数据-取费表'!C42),4)</f>
        <v>5.33E-2</v>
      </c>
      <c r="D28" s="369" t="s">
        <v>1468</v>
      </c>
      <c r="E28" s="347" t="s">
        <v>1414</v>
      </c>
      <c r="F28" s="367">
        <f>'数据-取费表'!B41</f>
        <v>5.6000000000000001E-2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1470</v>
      </c>
      <c r="C29" s="1337">
        <f ca="1">ROUND((C19+C20+C23+C26)/(1-F21-C24-C27-C28),0)</f>
        <v>8</v>
      </c>
      <c r="D29" s="1338"/>
      <c r="E29" s="1336"/>
      <c r="F29" s="1339"/>
      <c r="G29" s="1849"/>
      <c r="H29" s="380" t="s">
        <v>1030</v>
      </c>
      <c r="I29" s="381" t="s">
        <v>1471</v>
      </c>
      <c r="J29" s="382">
        <f ca="1">ROUND(J26/(1+F40)^F41,0)</f>
        <v>0</v>
      </c>
      <c r="K29" s="383" t="s">
        <v>1472</v>
      </c>
      <c r="L29" s="384"/>
      <c r="M29" s="385">
        <f ca="1">INDIRECT("'数据-取费表'!k"&amp;$G$1)</f>
        <v>19.98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1416</v>
      </c>
      <c r="C30" s="355">
        <f ca="1">ROUND(C31+C36+C37+C38,0)</f>
        <v>1</v>
      </c>
      <c r="D30" s="1333" t="s">
        <v>1417</v>
      </c>
      <c r="E30" s="2952"/>
      <c r="F30" s="1290"/>
      <c r="G30" s="1846"/>
      <c r="H30" s="741"/>
      <c r="I30" s="742"/>
      <c r="J30" s="743"/>
      <c r="K30" s="744"/>
      <c r="L30" s="745"/>
      <c r="M30" s="746"/>
    </row>
    <row r="31" spans="1:37" ht="18" customHeight="1">
      <c r="A31" s="1197" t="s">
        <v>1032</v>
      </c>
      <c r="B31" s="347" t="s">
        <v>1421</v>
      </c>
      <c r="C31" s="24">
        <f ca="1">ROUND(IF(项目基本情况!B11="自然人",C5*F31,C32+C33+C34),1)</f>
        <v>0.4</v>
      </c>
      <c r="D31" s="2950" t="s">
        <v>1422</v>
      </c>
      <c r="E31" s="2951" t="s">
        <v>1473</v>
      </c>
      <c r="F31" s="368" t="str">
        <f ca="1">IF(项目基本情况!B11="企业","",IF(INDIRECT("'数据-取费表'!c"&amp;$G$1)="住宅",5%,IF(F6*F7*F8/12/(1+'数据-取费表'!C42)&gt;20000,12%,7%)))</f>
        <v/>
      </c>
      <c r="G31" s="1846"/>
      <c r="H31" s="741"/>
      <c r="I31" s="742"/>
      <c r="J31" s="743"/>
      <c r="K31" s="744"/>
      <c r="L31" s="745"/>
      <c r="M31" s="746"/>
    </row>
    <row r="32" spans="1:37" ht="18" customHeight="1">
      <c r="A32" s="1197" t="s">
        <v>1031</v>
      </c>
      <c r="B32" s="347" t="s">
        <v>1425</v>
      </c>
      <c r="C32" s="24">
        <f ca="1">IF(项目基本情况!B11="自然人","——",ROUND(C5*F32/(1+'数据-取费表'!C42),2))</f>
        <v>0.11</v>
      </c>
      <c r="D32" s="2951" t="s">
        <v>1426</v>
      </c>
      <c r="E32" s="347" t="s">
        <v>1414</v>
      </c>
      <c r="F32" s="377">
        <f>'数据-取费表'!B41</f>
        <v>5.6000000000000001E-2</v>
      </c>
      <c r="G32" s="1846"/>
      <c r="H32" s="741"/>
      <c r="I32" s="742"/>
      <c r="J32" s="743"/>
      <c r="K32" s="744"/>
      <c r="L32" s="745"/>
      <c r="M32" s="746"/>
    </row>
    <row r="33" spans="1:18" ht="18" customHeight="1">
      <c r="A33" s="1197" t="s">
        <v>1033</v>
      </c>
      <c r="B33" s="347" t="s">
        <v>1429</v>
      </c>
      <c r="C33" s="24">
        <f ca="1">IF(项目基本情况!B11="自然人","——",IF(D33="按租金收入计税",ROUND(C5*F33,2),IF(D33="按房产原值计税",ROUND(C29*F33*0.7,2),INDIRECT("'数据-取费表'!Aj"&amp;$G$1))))</f>
        <v>0.24</v>
      </c>
      <c r="D33" s="1823" t="s">
        <v>3162</v>
      </c>
      <c r="E33" s="347" t="s">
        <v>1414</v>
      </c>
      <c r="F33" s="367">
        <f>IF(D33="按票据","——",IF(D33="按租金收入计税",'数据-取费表'!B51,'数据-取费表'!B50))</f>
        <v>0.12</v>
      </c>
      <c r="G33" s="1846"/>
      <c r="H33" s="1854"/>
      <c r="I33" s="1855"/>
      <c r="J33" s="1856"/>
      <c r="K33" s="1857"/>
      <c r="L33" s="1854"/>
      <c r="M33" s="1854"/>
    </row>
    <row r="34" spans="1:18" ht="18" customHeight="1">
      <c r="A34" s="1287" t="s">
        <v>1381</v>
      </c>
      <c r="B34" s="164" t="s">
        <v>1433</v>
      </c>
      <c r="C34" s="25">
        <f ca="1">IF(项目基本情况!B11="自然人","——",ROUND(F34*F35/10000,2))</f>
        <v>0</v>
      </c>
      <c r="D34" s="370" t="s">
        <v>1434</v>
      </c>
      <c r="E34" s="347" t="s">
        <v>1435</v>
      </c>
      <c r="F34" s="371">
        <f>'数据-取费表'!B52</f>
        <v>3</v>
      </c>
      <c r="G34" s="1846"/>
      <c r="H34" s="741"/>
      <c r="I34" s="1855"/>
      <c r="J34" s="1856"/>
      <c r="K34" s="1858"/>
      <c r="L34" s="1859"/>
      <c r="M34" s="1859"/>
    </row>
    <row r="35" spans="1:18" ht="18" customHeight="1">
      <c r="A35" s="1349"/>
      <c r="B35" s="1347"/>
      <c r="C35" s="29"/>
      <c r="D35" s="373"/>
      <c r="E35" s="347" t="s">
        <v>1439</v>
      </c>
      <c r="F35" s="348">
        <f ca="1">INDIRECT("'数据-取费表'!r"&amp;$G$1)</f>
        <v>0</v>
      </c>
      <c r="G35" s="1846"/>
      <c r="H35" s="741"/>
      <c r="I35" s="1855"/>
      <c r="J35" s="1856"/>
      <c r="K35" s="1857"/>
      <c r="L35" s="1854"/>
      <c r="M35" s="1854"/>
    </row>
    <row r="36" spans="1:18" ht="18" customHeight="1">
      <c r="A36" s="1348" t="s">
        <v>1036</v>
      </c>
      <c r="B36" s="347" t="s">
        <v>1441</v>
      </c>
      <c r="C36" s="24">
        <f ca="1">ROUND(C29*F36,1)</f>
        <v>0.1</v>
      </c>
      <c r="D36" s="2951" t="s">
        <v>1474</v>
      </c>
      <c r="E36" s="347" t="s">
        <v>1414</v>
      </c>
      <c r="F36" s="374">
        <f ca="1">INDIRECT("'数据-取费表'!Ak"&amp;$G$1)</f>
        <v>1.4999999999999999E-2</v>
      </c>
      <c r="G36" s="1846"/>
      <c r="H36" s="1854"/>
      <c r="I36" s="1855"/>
      <c r="J36" s="1856"/>
      <c r="K36" s="747"/>
      <c r="L36" s="1854"/>
      <c r="M36" s="1854"/>
    </row>
    <row r="37" spans="1:18" ht="18" customHeight="1">
      <c r="A37" s="1197" t="s">
        <v>1072</v>
      </c>
      <c r="B37" s="347" t="s">
        <v>1445</v>
      </c>
      <c r="C37" s="24">
        <f ca="1">ROUND(C13*F37,1)</f>
        <v>0</v>
      </c>
      <c r="D37" s="2951" t="s">
        <v>1446</v>
      </c>
      <c r="E37" s="347" t="s">
        <v>1414</v>
      </c>
      <c r="F37" s="376">
        <f ca="1">INDIRECT("'数据-取费表'!Al"&amp;$G$1)</f>
        <v>1.5E-3</v>
      </c>
      <c r="G37" s="1846"/>
      <c r="H37" s="1854"/>
      <c r="I37" s="1855"/>
      <c r="J37" s="1856"/>
      <c r="K37" s="747"/>
      <c r="L37" s="1854"/>
      <c r="M37" s="1854"/>
    </row>
    <row r="38" spans="1:18" ht="18" customHeight="1" thickBot="1">
      <c r="A38" s="1335" t="s">
        <v>1384</v>
      </c>
      <c r="B38" s="1336" t="s">
        <v>1431</v>
      </c>
      <c r="C38" s="1337">
        <f ca="1">ROUND(C5*F38,1)</f>
        <v>0</v>
      </c>
      <c r="D38" s="1338" t="s">
        <v>1451</v>
      </c>
      <c r="E38" s="1336" t="s">
        <v>1414</v>
      </c>
      <c r="F38" s="1332">
        <f ca="1">INDIRECT("'数据-取费表'!Am"&amp;$G$1)</f>
        <v>0.02</v>
      </c>
      <c r="G38" s="1846"/>
      <c r="H38" s="1854"/>
      <c r="I38" s="1855"/>
      <c r="J38" s="1856"/>
      <c r="K38" s="1860"/>
      <c r="L38" s="1854"/>
      <c r="M38" s="1854"/>
    </row>
    <row r="39" spans="1:18" ht="24.6" customHeight="1" thickTop="1">
      <c r="A39" s="1325" t="s">
        <v>1028</v>
      </c>
      <c r="B39" s="1340" t="s">
        <v>1455</v>
      </c>
      <c r="C39" s="355">
        <f ca="1">C5-C30</f>
        <v>1</v>
      </c>
      <c r="D39" s="1341" t="s">
        <v>1456</v>
      </c>
      <c r="E39" s="1342"/>
      <c r="F39" s="1343"/>
      <c r="G39" s="1846"/>
      <c r="H39" s="1854"/>
      <c r="I39" s="1855"/>
      <c r="J39" s="1856"/>
      <c r="K39" s="1860"/>
      <c r="L39" s="1854"/>
      <c r="M39" s="1854"/>
    </row>
    <row r="40" spans="1:18" ht="18" customHeight="1">
      <c r="A40" s="344" t="s">
        <v>1029</v>
      </c>
      <c r="B40" s="345" t="s">
        <v>1477</v>
      </c>
      <c r="C40" s="346">
        <f ca="1">ROUND(C39*(1-((1+F42)/(1+F40))^F41)/(F40-F42),0)</f>
        <v>16</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24.97</v>
      </c>
      <c r="G41" s="1846"/>
      <c r="H41" s="728"/>
      <c r="I41" s="1855"/>
      <c r="J41" s="1856"/>
      <c r="K41" s="747"/>
      <c r="L41" s="728"/>
      <c r="M41" s="728"/>
    </row>
    <row r="42" spans="1:18" ht="18" customHeight="1">
      <c r="A42" s="353"/>
      <c r="B42" s="354"/>
      <c r="C42" s="355"/>
      <c r="D42" s="373"/>
      <c r="E42" s="347" t="s">
        <v>1469</v>
      </c>
      <c r="F42" s="357">
        <f ca="1">INDIRECT("'数据-取费表'!v"&amp;$G$1)</f>
        <v>0.02</v>
      </c>
      <c r="G42" s="1846"/>
      <c r="H42" s="728"/>
      <c r="I42" s="1855"/>
      <c r="J42" s="1856"/>
      <c r="K42" s="747"/>
      <c r="L42" s="728"/>
      <c r="M42" s="728"/>
    </row>
    <row r="43" spans="1:18" ht="18" customHeight="1" thickBot="1">
      <c r="A43" s="380" t="s">
        <v>1030</v>
      </c>
      <c r="B43" s="381" t="s">
        <v>1479</v>
      </c>
      <c r="C43" s="382">
        <f ca="1">ROUND(C40*10000/F43,0)</f>
        <v>8008</v>
      </c>
      <c r="D43" s="383" t="s">
        <v>1480</v>
      </c>
      <c r="E43" s="384" t="s">
        <v>1481</v>
      </c>
      <c r="F43" s="385">
        <f ca="1">INDIRECT("'数据-取费表'!k"&amp;$G$1)</f>
        <v>19.98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1511</v>
      </c>
      <c r="P45" s="1834"/>
      <c r="Q45" s="1834"/>
      <c r="R45" s="1834"/>
    </row>
    <row r="46" spans="1:18" s="1837" customFormat="1" ht="13.5" thickBot="1">
      <c r="A46" s="1865" t="s">
        <v>1512</v>
      </c>
      <c r="C46" s="1866">
        <f ca="1">C68-C40</f>
        <v>49</v>
      </c>
      <c r="D46" s="1867" t="str">
        <f>C2</f>
        <v>万元</v>
      </c>
      <c r="E46" s="1861"/>
      <c r="F46" s="1861"/>
      <c r="I46" s="1868" t="s">
        <v>1513</v>
      </c>
      <c r="J46" s="1869"/>
      <c r="K46" s="1870"/>
      <c r="L46" s="1871">
        <f ca="1">IF(M47="住宅",0,IF(L48&gt;J51,L60,J60))</f>
        <v>0</v>
      </c>
      <c r="O46" s="1872" t="s">
        <v>1514</v>
      </c>
      <c r="P46" s="1873" t="s">
        <v>1515</v>
      </c>
      <c r="Q46" s="1874" t="s">
        <v>1516</v>
      </c>
      <c r="R46" s="1874" t="s">
        <v>1517</v>
      </c>
    </row>
    <row r="47" spans="1:18" s="1837" customFormat="1" ht="13.5" thickBot="1">
      <c r="A47" s="1161" t="s">
        <v>1388</v>
      </c>
      <c r="B47" s="1193" t="s">
        <v>1389</v>
      </c>
      <c r="C47" s="1363" t="s">
        <v>1390</v>
      </c>
      <c r="D47" s="1193" t="s">
        <v>1391</v>
      </c>
      <c r="E47" s="1275" t="s">
        <v>1392</v>
      </c>
      <c r="F47" s="1276"/>
      <c r="G47" s="788"/>
      <c r="I47" s="1875" t="s">
        <v>1518</v>
      </c>
      <c r="J47" s="1876" t="s">
        <v>3163</v>
      </c>
      <c r="K47" s="1877" t="s">
        <v>1519</v>
      </c>
      <c r="L47" s="1878">
        <f ca="1">INDIRECT("'数据-取费表'!d"&amp;$G$1)</f>
        <v>40</v>
      </c>
      <c r="M47" s="1833" t="str">
        <f>IF(ISNUMBER(FIND("住宅",C1)),"住宅","非住宅")</f>
        <v>非住宅</v>
      </c>
      <c r="O47" s="1879" t="s">
        <v>1037</v>
      </c>
      <c r="P47" s="1880" t="s">
        <v>1520</v>
      </c>
      <c r="Q47" s="1881">
        <f ca="1">C40+J29</f>
        <v>16</v>
      </c>
      <c r="R47" s="1881" t="s">
        <v>1521</v>
      </c>
    </row>
    <row r="48" spans="1:18" s="1837" customFormat="1" ht="28.5" thickBot="1">
      <c r="A48" s="1356" t="s">
        <v>1132</v>
      </c>
      <c r="B48" s="345" t="s">
        <v>1393</v>
      </c>
      <c r="C48" s="2944">
        <f ca="1">C49+C53+C55</f>
        <v>5</v>
      </c>
      <c r="D48" s="1358"/>
      <c r="E48" s="1359"/>
      <c r="F48" s="1177"/>
      <c r="G48" s="788"/>
      <c r="H48" s="789"/>
      <c r="I48" s="1882" t="s">
        <v>1522</v>
      </c>
      <c r="J48" s="1883" t="s">
        <v>3164</v>
      </c>
      <c r="K48" s="1884" t="s">
        <v>1523</v>
      </c>
      <c r="L48" s="1885">
        <f ca="1">INDIRECT("'数据-取费表'!f"&amp;$G$1)</f>
        <v>24.97</v>
      </c>
      <c r="O48" s="1879" t="s">
        <v>1038</v>
      </c>
      <c r="P48" s="1880" t="s">
        <v>1524</v>
      </c>
      <c r="Q48" s="1881">
        <f ca="1">J60</f>
        <v>0</v>
      </c>
      <c r="R48" s="1881" t="s">
        <v>1525</v>
      </c>
    </row>
    <row r="49" spans="1:18" s="1837" customFormat="1" ht="13.5" thickBot="1">
      <c r="A49" s="1190" t="s">
        <v>1133</v>
      </c>
      <c r="B49" s="1824" t="s">
        <v>1482</v>
      </c>
      <c r="C49" s="1360">
        <f ca="1">ROUND(F49*F51*F50*(1-F52)/10000,0)</f>
        <v>5</v>
      </c>
      <c r="D49" s="1272" t="s">
        <v>3021</v>
      </c>
      <c r="E49" s="1825" t="s">
        <v>1483</v>
      </c>
      <c r="F49" s="1277">
        <v>8</v>
      </c>
      <c r="G49" s="1886"/>
      <c r="H49" s="789"/>
      <c r="I49" s="1882" t="s">
        <v>1526</v>
      </c>
      <c r="J49" s="1887">
        <v>2007</v>
      </c>
      <c r="K49" s="1884" t="s">
        <v>1527</v>
      </c>
      <c r="L49" s="1888"/>
      <c r="O49" s="1889" t="s">
        <v>1039</v>
      </c>
      <c r="P49" s="1880" t="s">
        <v>1528</v>
      </c>
      <c r="Q49" s="1881">
        <f ca="1">C29</f>
        <v>8</v>
      </c>
      <c r="R49" s="1881" t="s">
        <v>1521</v>
      </c>
    </row>
    <row r="50" spans="1:18" s="1837" customFormat="1" ht="13.5" thickBot="1">
      <c r="A50" s="1191"/>
      <c r="B50" s="1194"/>
      <c r="C50" s="1364"/>
      <c r="D50" s="1168"/>
      <c r="E50" s="1273" t="s">
        <v>1398</v>
      </c>
      <c r="F50" s="1274">
        <f ca="1">F7</f>
        <v>19.98</v>
      </c>
      <c r="H50" s="789"/>
      <c r="I50" s="1882" t="s">
        <v>1529</v>
      </c>
      <c r="J50" s="1890">
        <f>SUMPRODUCT((I63:I65=J47)*(J62:L62=J48)*(J63:L65))</f>
        <v>60</v>
      </c>
      <c r="K50" s="1884" t="s">
        <v>1530</v>
      </c>
      <c r="L50" s="1888"/>
      <c r="M50" s="1891"/>
      <c r="O50" s="1889" t="s">
        <v>1040</v>
      </c>
      <c r="P50" s="1880" t="s">
        <v>1531</v>
      </c>
      <c r="Q50" s="1892">
        <f ca="1">J58</f>
        <v>0.4</v>
      </c>
      <c r="R50" s="1881"/>
    </row>
    <row r="51" spans="1:18" s="1837" customFormat="1" ht="13.5" thickBot="1">
      <c r="A51" s="1192"/>
      <c r="B51" s="1194"/>
      <c r="C51" s="1195"/>
      <c r="D51" s="1168"/>
      <c r="E51" s="1196" t="s">
        <v>1399</v>
      </c>
      <c r="F51" s="348">
        <f ca="1">F8</f>
        <v>365</v>
      </c>
      <c r="I51" s="1893" t="s">
        <v>1532</v>
      </c>
      <c r="J51" s="1894">
        <f>IF(J49="",J50,J49+J50-YEAR('数据-取费表'!B2))</f>
        <v>48</v>
      </c>
      <c r="K51" s="1895" t="s">
        <v>1533</v>
      </c>
      <c r="L51" s="1896">
        <f ca="1">ROUND(-PV(INDIRECT("'数据-取费表'!h"&amp;$G$1),L48,(C39-C13*C76),0),0)</f>
        <v>8</v>
      </c>
      <c r="M51" s="1897"/>
      <c r="O51" s="1889" t="s">
        <v>1041</v>
      </c>
      <c r="P51" s="1880" t="s">
        <v>1534</v>
      </c>
      <c r="Q51" s="1892">
        <f>J52</f>
        <v>8.5000000000000006E-2</v>
      </c>
      <c r="R51" s="1881"/>
    </row>
    <row r="52" spans="1:18" s="1837" customFormat="1" ht="13.5" thickBot="1">
      <c r="A52" s="1192"/>
      <c r="B52" s="1194"/>
      <c r="C52" s="1195"/>
      <c r="D52" s="1168"/>
      <c r="E52" s="1196" t="s">
        <v>1400</v>
      </c>
      <c r="F52" s="1271">
        <v>0.1</v>
      </c>
      <c r="I52" s="1898" t="s">
        <v>1535</v>
      </c>
      <c r="J52" s="1899">
        <v>8.5000000000000006E-2</v>
      </c>
      <c r="K52" s="1898" t="s">
        <v>1536</v>
      </c>
      <c r="L52" s="1899"/>
      <c r="O52" s="1889" t="s">
        <v>1042</v>
      </c>
      <c r="P52" s="1880" t="s">
        <v>1537</v>
      </c>
      <c r="Q52" s="1881">
        <f ca="1">J53</f>
        <v>24.97</v>
      </c>
      <c r="R52" s="1881" t="s">
        <v>1538</v>
      </c>
    </row>
    <row r="53" spans="1:18" s="1837" customFormat="1" ht="24.75" thickBot="1">
      <c r="A53" s="1401" t="s">
        <v>1134</v>
      </c>
      <c r="B53" s="1826" t="s">
        <v>1401</v>
      </c>
      <c r="C53" s="361">
        <f ca="1">ROUND(IF(F53="押一",C49/12*F11,IF(F53="押二",C49/12*2*F11,IF(F53="押三",C49/12*3*F11,C54*F11))),0)</f>
        <v>0</v>
      </c>
      <c r="D53" s="1819" t="s">
        <v>3030</v>
      </c>
      <c r="E53" s="358" t="s">
        <v>1402</v>
      </c>
      <c r="F53" s="1362" t="s">
        <v>3161</v>
      </c>
      <c r="I53" s="1900" t="s">
        <v>1539</v>
      </c>
      <c r="J53" s="1901">
        <f ca="1">IF(M47="住宅",IF(D1="——",MAX(J51,L48),IF(D1="在建（套用方法）",MAX(J51,L48-'数据-取费表'!B24),MAX(J51,L48-'数据-取费表'!B20))),IF(D1="——",MIN(J51,L48),IF(D1="在建（套用方法）",MIN(J51,L48-'数据-取费表'!B24),IF(D1="土地（套用方法）",MIN(J51,L48-'数据-取费表'!B20)))))</f>
        <v>24.97</v>
      </c>
      <c r="K53" s="3358" t="s">
        <v>1540</v>
      </c>
      <c r="L53" s="3359"/>
      <c r="O53" s="1879" t="s">
        <v>1043</v>
      </c>
      <c r="P53" s="1880" t="s">
        <v>1541</v>
      </c>
      <c r="Q53" s="1881">
        <f ca="1">Q47+Q48</f>
        <v>16</v>
      </c>
      <c r="R53" s="1881" t="s">
        <v>1044</v>
      </c>
    </row>
    <row r="54" spans="1:18" s="1837" customFormat="1" ht="13.5" thickBot="1">
      <c r="A54" s="1402"/>
      <c r="B54" s="1820" t="s">
        <v>1380</v>
      </c>
      <c r="C54" s="1174"/>
      <c r="D54" s="1819"/>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9" t="s">
        <v>1072</v>
      </c>
      <c r="B55" s="1822" t="s">
        <v>1405</v>
      </c>
      <c r="C55" s="1330"/>
      <c r="D55" s="1819"/>
      <c r="E55" s="2948"/>
      <c r="F55" s="1902"/>
      <c r="I55" s="1905" t="s">
        <v>1543</v>
      </c>
      <c r="J55" s="1906">
        <f ca="1">ROUND(IF(J47="钢混",J57/J50,1-(1-2%)*(J50-J57)/J50),3)</f>
        <v>0.38400000000000001</v>
      </c>
      <c r="K55" s="1907" t="s">
        <v>1544</v>
      </c>
      <c r="L55" s="1908" t="s">
        <v>1545</v>
      </c>
      <c r="O55" s="1872" t="s">
        <v>1514</v>
      </c>
      <c r="P55" s="1873" t="s">
        <v>1515</v>
      </c>
      <c r="Q55" s="1874" t="s">
        <v>1516</v>
      </c>
      <c r="R55" s="1874" t="s">
        <v>1517</v>
      </c>
    </row>
    <row r="56" spans="1:18" s="1837" customFormat="1" ht="25.5" thickTop="1" thickBot="1">
      <c r="A56" s="1172">
        <v>2</v>
      </c>
      <c r="B56" s="1173" t="s">
        <v>1406</v>
      </c>
      <c r="C56" s="276">
        <f ca="1">C13</f>
        <v>6</v>
      </c>
      <c r="D56" s="1909"/>
      <c r="E56" s="1910"/>
      <c r="F56" s="1902"/>
      <c r="I56" s="1911" t="s">
        <v>1546</v>
      </c>
      <c r="J56" s="1912" t="s">
        <v>3148</v>
      </c>
      <c r="K56" s="1882" t="s">
        <v>1547</v>
      </c>
      <c r="L56" s="1885" t="str">
        <f ca="1">IF(L48&lt;J51,"——",L48-J53)</f>
        <v>——</v>
      </c>
      <c r="O56" s="1879" t="s">
        <v>1037</v>
      </c>
      <c r="P56" s="1880" t="s">
        <v>1520</v>
      </c>
      <c r="Q56" s="1881">
        <f ca="1">C40+J29</f>
        <v>16</v>
      </c>
      <c r="R56" s="1881" t="s">
        <v>1521</v>
      </c>
    </row>
    <row r="57" spans="1:18" s="1837" customFormat="1" ht="24.75" thickBot="1">
      <c r="A57" s="1913"/>
      <c r="B57" s="1165" t="s">
        <v>1470</v>
      </c>
      <c r="C57" s="282">
        <f ca="1">C29</f>
        <v>8</v>
      </c>
      <c r="D57" s="1914"/>
      <c r="E57" s="1915"/>
      <c r="F57" s="1916"/>
      <c r="I57" s="1917" t="s">
        <v>1548</v>
      </c>
      <c r="J57" s="1918">
        <f ca="1">IF(OR(M47="住宅",J51&lt;L48,J56="是"),"——",J51-L48)</f>
        <v>23.03</v>
      </c>
      <c r="K57" s="1882" t="s">
        <v>1549</v>
      </c>
      <c r="L57" s="1885" t="str">
        <f ca="1">IF(L48&lt;J51,"——",IF(L55="比较法",L49,IF(L55="基准地价",L50,L51)))</f>
        <v>——</v>
      </c>
      <c r="O57" s="1879" t="s">
        <v>1038</v>
      </c>
      <c r="P57" s="1880" t="s">
        <v>1550</v>
      </c>
      <c r="Q57" s="1881">
        <f ca="1">L60</f>
        <v>0</v>
      </c>
      <c r="R57" s="1881" t="s">
        <v>1551</v>
      </c>
    </row>
    <row r="58" spans="1:18" s="1837" customFormat="1" ht="24.75" thickBot="1">
      <c r="A58" s="360" t="s">
        <v>1027</v>
      </c>
      <c r="B58" s="1173" t="s">
        <v>1416</v>
      </c>
      <c r="C58" s="361">
        <f ca="1">ROUND(C59+C64+C65+C66,0)</f>
        <v>1</v>
      </c>
      <c r="D58" s="1175" t="s">
        <v>1417</v>
      </c>
      <c r="E58" s="1176"/>
      <c r="F58" s="1177"/>
      <c r="I58" s="1917" t="s">
        <v>1552</v>
      </c>
      <c r="J58" s="1919">
        <f ca="1">IF(J55&lt;0.4,0.4,J55)</f>
        <v>0.4</v>
      </c>
      <c r="K58" s="1895" t="s">
        <v>1553</v>
      </c>
      <c r="L58" s="1885" t="e">
        <f ca="1">ROUND(POWER(1+L52,L47-L48)*(POWER(1+L52,L48)-1)/(POWER(1+L52,L47)-1),4)</f>
        <v>#DIV/0!</v>
      </c>
      <c r="O58" s="1889" t="s">
        <v>1039</v>
      </c>
      <c r="P58" s="1880" t="s">
        <v>1554</v>
      </c>
      <c r="Q58" s="1881">
        <f>IF(L55="比较法",L49,IF(L55="基准地价",L50,0))</f>
        <v>0</v>
      </c>
      <c r="R58" s="1881" t="s">
        <v>1521</v>
      </c>
    </row>
    <row r="59" spans="1:18" s="1837" customFormat="1" ht="24.75" thickBot="1">
      <c r="A59" s="1197" t="s">
        <v>1032</v>
      </c>
      <c r="B59" s="1165" t="s">
        <v>1421</v>
      </c>
      <c r="C59" s="24">
        <f ca="1">ROUND(IF(项目基本情况!B11="自然人",C48*F59,C60+C61+C62),1)</f>
        <v>0.9</v>
      </c>
      <c r="D59" s="1178" t="s">
        <v>1422</v>
      </c>
      <c r="E59" s="1179" t="s">
        <v>1423</v>
      </c>
      <c r="F59" s="368" t="str">
        <f ca="1">IF(项目基本情况!B11="企业","",IF(INDIRECT("'数据-取费表'!c"&amp;$G$1)="住宅",5%,IF(F49*F50*F51/12/(1+'数据-取费表'!C42)&gt;20000,12%,7%)))</f>
        <v/>
      </c>
      <c r="I59" s="1917" t="s">
        <v>1555</v>
      </c>
      <c r="J59" s="1918">
        <f ca="1">IF(OR(M47="住宅",J51&lt;L48,J56="是"),"——",ROUND(C29*J58,0))</f>
        <v>3</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1556</v>
      </c>
      <c r="Q59" s="1892">
        <f>L52</f>
        <v>0</v>
      </c>
      <c r="R59" s="1881"/>
    </row>
    <row r="60" spans="1:18" s="1837" customFormat="1" ht="16.5" thickBot="1">
      <c r="A60" s="1197" t="s">
        <v>1031</v>
      </c>
      <c r="B60" s="1165" t="s">
        <v>1425</v>
      </c>
      <c r="C60" s="24">
        <f ca="1">IF(项目基本情况!B11="自然人","——",ROUND(C48*F60/(1+'数据-取费表'!C42),2))</f>
        <v>0.27</v>
      </c>
      <c r="D60" s="1179" t="s">
        <v>1426</v>
      </c>
      <c r="E60" s="1165" t="s">
        <v>1414</v>
      </c>
      <c r="F60" s="377">
        <f t="shared" ref="F60:F66" si="0">F32</f>
        <v>5.6000000000000001E-2</v>
      </c>
      <c r="I60" s="1920" t="s">
        <v>1557</v>
      </c>
      <c r="J60" s="1921">
        <f ca="1">IF(OR(M47="住宅",J51&lt;L48,J56="是"),"0",ROUND(J59/(1+J52)^J53,0))</f>
        <v>0</v>
      </c>
      <c r="K60" s="1922" t="s">
        <v>1558</v>
      </c>
      <c r="L60" s="1921">
        <f ca="1">IF(OR(M47="住宅",L48&lt;J51),0,ROUND(L57*(L58/L59-1),0))</f>
        <v>0</v>
      </c>
      <c r="O60" s="1889" t="s">
        <v>1041</v>
      </c>
      <c r="P60" s="1880" t="s">
        <v>1559</v>
      </c>
      <c r="Q60" s="1881" t="e">
        <f ca="1">L58</f>
        <v>#DIV/0!</v>
      </c>
      <c r="R60" s="1881" t="s">
        <v>1560</v>
      </c>
    </row>
    <row r="61" spans="1:18" s="1837" customFormat="1" ht="13.5" thickBot="1">
      <c r="A61" s="1197" t="s">
        <v>1484</v>
      </c>
      <c r="B61" s="1165" t="s">
        <v>1429</v>
      </c>
      <c r="C61" s="24">
        <f ca="1">IF(项目基本情况!B11="自然人","——",IF(D61="按租金收入计税",ROUND(C48*F61,2),IF(D61="按房产原值计税",ROUND(C57*F61*0.7,2),INDIRECT("'数据-取费表'!Aj"&amp;$G$1))))</f>
        <v>0.6</v>
      </c>
      <c r="D61" s="1823" t="s">
        <v>3162</v>
      </c>
      <c r="E61" s="1165" t="s">
        <v>1414</v>
      </c>
      <c r="F61" s="367">
        <f t="shared" si="0"/>
        <v>0.12</v>
      </c>
      <c r="I61" s="1923"/>
      <c r="J61" s="1923"/>
      <c r="K61" s="1923"/>
      <c r="L61" s="1923"/>
      <c r="O61" s="1889" t="s">
        <v>1042</v>
      </c>
      <c r="P61" s="1880" t="str">
        <f>K59</f>
        <v>建筑物剩余耐用年限下的土地年期修正系数Kn</v>
      </c>
      <c r="Q61" s="1881" t="e">
        <f ca="1">L59</f>
        <v>#DIV/0!</v>
      </c>
      <c r="R61" s="1881" t="s">
        <v>1561</v>
      </c>
    </row>
    <row r="62" spans="1:18" s="1837" customFormat="1" ht="13.5" thickBot="1">
      <c r="A62" s="1197" t="s">
        <v>1487</v>
      </c>
      <c r="B62" s="1164" t="s">
        <v>1433</v>
      </c>
      <c r="C62" s="25">
        <f ca="1">IF(项目基本情况!B11="自然人","——",ROUND(F62*F63/10000,2))</f>
        <v>0</v>
      </c>
      <c r="D62" s="1180" t="s">
        <v>1434</v>
      </c>
      <c r="E62" s="1165" t="s">
        <v>1435</v>
      </c>
      <c r="F62" s="371">
        <f t="shared" si="0"/>
        <v>3</v>
      </c>
      <c r="I62" s="1924" t="s">
        <v>1562</v>
      </c>
      <c r="J62" s="1925" t="s">
        <v>1563</v>
      </c>
      <c r="K62" s="1925" t="s">
        <v>1564</v>
      </c>
      <c r="L62" s="1925" t="s">
        <v>1565</v>
      </c>
      <c r="M62" s="1926" t="s">
        <v>1566</v>
      </c>
      <c r="O62" s="1879" t="s">
        <v>1043</v>
      </c>
      <c r="P62" s="1880" t="s">
        <v>1541</v>
      </c>
      <c r="Q62" s="1881">
        <f ca="1">Q56+Q57</f>
        <v>16</v>
      </c>
      <c r="R62" s="1881" t="s">
        <v>1044</v>
      </c>
    </row>
    <row r="63" spans="1:18" s="1837" customFormat="1" ht="13.5" thickBot="1">
      <c r="A63" s="372"/>
      <c r="B63" s="1171"/>
      <c r="C63" s="29"/>
      <c r="D63" s="1181"/>
      <c r="E63" s="1165" t="s">
        <v>1439</v>
      </c>
      <c r="F63" s="348">
        <f t="shared" ca="1" si="0"/>
        <v>0</v>
      </c>
      <c r="I63" s="1924" t="s">
        <v>1568</v>
      </c>
      <c r="J63" s="1925">
        <v>70</v>
      </c>
      <c r="K63" s="1925">
        <v>50</v>
      </c>
      <c r="L63" s="1925">
        <v>80</v>
      </c>
      <c r="M63" s="1927">
        <v>0.02</v>
      </c>
      <c r="O63" s="1864" t="s">
        <v>1569</v>
      </c>
      <c r="P63" s="1834"/>
      <c r="Q63" s="1834"/>
      <c r="R63" s="1834"/>
    </row>
    <row r="64" spans="1:18" s="1837" customFormat="1" ht="13.5" thickBot="1">
      <c r="A64" s="1197" t="s">
        <v>1036</v>
      </c>
      <c r="B64" s="1165" t="s">
        <v>1441</v>
      </c>
      <c r="C64" s="24">
        <f ca="1">ROUND(C57*F64,1)</f>
        <v>0.1</v>
      </c>
      <c r="D64" s="1179" t="s">
        <v>1474</v>
      </c>
      <c r="E64" s="1165"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7" t="s">
        <v>1495</v>
      </c>
      <c r="B65" s="1165" t="s">
        <v>1445</v>
      </c>
      <c r="C65" s="24">
        <f ca="1">ROUND(C56*F65,1)</f>
        <v>0</v>
      </c>
      <c r="D65" s="1179" t="s">
        <v>1446</v>
      </c>
      <c r="E65" s="1165" t="s">
        <v>1414</v>
      </c>
      <c r="F65" s="376">
        <f t="shared" ca="1" si="0"/>
        <v>1.5E-3</v>
      </c>
      <c r="I65" s="1924" t="s">
        <v>1571</v>
      </c>
      <c r="J65" s="1925">
        <v>40</v>
      </c>
      <c r="K65" s="1925">
        <v>30</v>
      </c>
      <c r="L65" s="1925">
        <v>50</v>
      </c>
      <c r="M65" s="1927">
        <v>0.02</v>
      </c>
      <c r="O65" s="1879" t="s">
        <v>1037</v>
      </c>
      <c r="P65" s="1880" t="s">
        <v>1520</v>
      </c>
      <c r="Q65" s="1881">
        <f ca="1">C40+J29</f>
        <v>16</v>
      </c>
      <c r="R65" s="1881" t="s">
        <v>1521</v>
      </c>
    </row>
    <row r="66" spans="1:18" s="1837" customFormat="1" ht="16.5" thickBot="1">
      <c r="A66" s="1197" t="s">
        <v>1496</v>
      </c>
      <c r="B66" s="1165" t="s">
        <v>1431</v>
      </c>
      <c r="C66" s="24">
        <f ca="1">ROUND(C48*F66,1)</f>
        <v>0.1</v>
      </c>
      <c r="D66" s="1179" t="s">
        <v>1451</v>
      </c>
      <c r="E66" s="1165" t="s">
        <v>1414</v>
      </c>
      <c r="F66" s="357">
        <f t="shared" ca="1" si="0"/>
        <v>0.02</v>
      </c>
      <c r="O66" s="1879" t="s">
        <v>1038</v>
      </c>
      <c r="P66" s="1880" t="s">
        <v>1550</v>
      </c>
      <c r="Q66" s="1881">
        <f ca="1">L60</f>
        <v>0</v>
      </c>
      <c r="R66" s="1881" t="s">
        <v>1573</v>
      </c>
    </row>
    <row r="67" spans="1:18" s="1837" customFormat="1" ht="16.5" thickBot="1">
      <c r="A67" s="1172" t="s">
        <v>1028</v>
      </c>
      <c r="B67" s="1182" t="s">
        <v>1455</v>
      </c>
      <c r="C67" s="361">
        <f ca="1">C48-C58</f>
        <v>4</v>
      </c>
      <c r="D67" s="1178" t="s">
        <v>1456</v>
      </c>
      <c r="E67" s="1183"/>
      <c r="F67" s="1184"/>
      <c r="O67" s="1889" t="s">
        <v>1039</v>
      </c>
      <c r="P67" s="1880" t="s">
        <v>1554</v>
      </c>
      <c r="Q67" s="1928">
        <f ca="1">L51</f>
        <v>8</v>
      </c>
      <c r="R67" s="1881" t="s">
        <v>1574</v>
      </c>
    </row>
    <row r="68" spans="1:18" s="1837" customFormat="1" ht="16.5" thickBot="1">
      <c r="A68" s="1162" t="s">
        <v>1029</v>
      </c>
      <c r="B68" s="1163" t="s">
        <v>1477</v>
      </c>
      <c r="C68" s="346">
        <f ca="1">ROUND(C67*(1-((1+F70)/(1+F68))^F69)/(F68-F70),0)</f>
        <v>65</v>
      </c>
      <c r="D68" s="1180" t="s">
        <v>1461</v>
      </c>
      <c r="E68" s="1165" t="s">
        <v>1462</v>
      </c>
      <c r="F68" s="357">
        <f ca="1">F40</f>
        <v>5.5E-2</v>
      </c>
      <c r="O68" s="1889" t="s">
        <v>1040</v>
      </c>
      <c r="P68" s="1929" t="s">
        <v>1575</v>
      </c>
      <c r="Q68" s="1881">
        <f ca="1">ROUND(Q69-Q70*Q71,0)</f>
        <v>1</v>
      </c>
      <c r="R68" s="1881" t="s">
        <v>1048</v>
      </c>
    </row>
    <row r="69" spans="1:18" s="1837" customFormat="1" ht="13.5" thickBot="1">
      <c r="A69" s="1166"/>
      <c r="B69" s="1167"/>
      <c r="C69" s="351"/>
      <c r="D69" s="1185" t="s">
        <v>1465</v>
      </c>
      <c r="E69" s="1165" t="s">
        <v>1466</v>
      </c>
      <c r="F69" s="379">
        <f ca="1">F41</f>
        <v>24.97</v>
      </c>
      <c r="O69" s="1889" t="s">
        <v>1045</v>
      </c>
      <c r="P69" s="1929" t="s">
        <v>1576</v>
      </c>
      <c r="Q69" s="1881">
        <f ca="1">C39</f>
        <v>1</v>
      </c>
      <c r="R69" s="1881" t="s">
        <v>1521</v>
      </c>
    </row>
    <row r="70" spans="1:18" s="1837" customFormat="1" ht="13.5" thickBot="1">
      <c r="A70" s="1169"/>
      <c r="B70" s="1170"/>
      <c r="C70" s="355"/>
      <c r="D70" s="1181"/>
      <c r="E70" s="1165" t="s">
        <v>1469</v>
      </c>
      <c r="F70" s="1271">
        <v>0.02</v>
      </c>
      <c r="O70" s="1889" t="s">
        <v>1046</v>
      </c>
      <c r="P70" s="1929" t="s">
        <v>1577</v>
      </c>
      <c r="Q70" s="1881">
        <f ca="1">C13</f>
        <v>6</v>
      </c>
      <c r="R70" s="1881" t="s">
        <v>1521</v>
      </c>
    </row>
    <row r="71" spans="1:18" s="1837" customFormat="1" ht="13.5" thickBot="1">
      <c r="A71" s="1186" t="s">
        <v>1030</v>
      </c>
      <c r="B71" s="1187" t="s">
        <v>1479</v>
      </c>
      <c r="C71" s="382">
        <f ca="1">ROUND(C68*10000/F71,0)</f>
        <v>32533</v>
      </c>
      <c r="D71" s="1188" t="s">
        <v>1480</v>
      </c>
      <c r="E71" s="1189" t="s">
        <v>1481</v>
      </c>
      <c r="F71" s="385">
        <f ca="1">F43</f>
        <v>19.98</v>
      </c>
      <c r="O71" s="1889" t="s">
        <v>1047</v>
      </c>
      <c r="P71" s="1929" t="s">
        <v>1578</v>
      </c>
      <c r="Q71" s="1892">
        <f ca="1">C76</f>
        <v>0.08</v>
      </c>
      <c r="R71" s="1881"/>
    </row>
    <row r="72" spans="1:18" s="1837" customFormat="1" ht="13.5" thickBot="1">
      <c r="B72" s="792"/>
      <c r="C72" s="792"/>
      <c r="O72" s="1889" t="s">
        <v>1041</v>
      </c>
      <c r="P72" s="1880" t="s">
        <v>1556</v>
      </c>
      <c r="Q72" s="1892">
        <f>L52</f>
        <v>0</v>
      </c>
      <c r="R72" s="1881"/>
    </row>
    <row r="73" spans="1:18" ht="16.5" thickBot="1">
      <c r="A73" s="1837"/>
      <c r="B73" s="792"/>
      <c r="C73" s="792"/>
      <c r="D73" s="1837"/>
      <c r="E73" s="1837"/>
      <c r="F73" s="1837"/>
      <c r="O73" s="1889" t="s">
        <v>1042</v>
      </c>
      <c r="P73" s="1880" t="s">
        <v>1559</v>
      </c>
      <c r="Q73" s="1881" t="e">
        <f ca="1">L58</f>
        <v>#DIV/0!</v>
      </c>
      <c r="R73" s="1881" t="s">
        <v>1560</v>
      </c>
    </row>
    <row r="74" spans="1:18" ht="13.5" thickBot="1">
      <c r="A74" s="1837"/>
      <c r="B74" s="317" t="s">
        <v>1579</v>
      </c>
      <c r="C74" s="1931"/>
      <c r="D74" s="1837"/>
      <c r="E74" s="1837"/>
      <c r="F74" s="1837"/>
      <c r="O74" s="1889" t="s">
        <v>1049</v>
      </c>
      <c r="P74" s="1880" t="str">
        <f>K59</f>
        <v>建筑物剩余耐用年限下的土地年期修正系数Kn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1043</v>
      </c>
      <c r="P75" s="1880" t="s">
        <v>1541</v>
      </c>
      <c r="Q75" s="1881">
        <f ca="1">Q65+Q66</f>
        <v>16</v>
      </c>
      <c r="R75" s="1881" t="s">
        <v>1044</v>
      </c>
    </row>
    <row r="76" spans="1:18">
      <c r="B76" s="388" t="s">
        <v>1499</v>
      </c>
      <c r="C76" s="389">
        <f ca="1">INDIRECT("'数据-取费表'!j"&amp;$G$1)</f>
        <v>0.08</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f ca="1">1-C83</f>
        <v>0.625</v>
      </c>
    </row>
    <row r="83" spans="2:3">
      <c r="B83" s="317" t="s">
        <v>1506</v>
      </c>
      <c r="C83" s="318">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0" customWidth="1"/>
    <col min="2" max="9" width="12.125" style="1940" customWidth="1"/>
    <col min="10" max="16384" width="9" style="1940"/>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1633</v>
      </c>
      <c r="B2" s="3058" t="s">
        <v>1634</v>
      </c>
      <c r="C2" s="3058" t="s">
        <v>1635</v>
      </c>
      <c r="D2" s="3058" t="str">
        <f>结果表!D116</f>
        <v>出让国有建设用地使用权价值</v>
      </c>
      <c r="E2" s="3058"/>
      <c r="F2" s="3058" t="str">
        <f>结果表!F116</f>
        <v>在建建筑物价值</v>
      </c>
      <c r="G2" s="3058"/>
      <c r="H2" s="3058" t="str">
        <f>IF(项目基本情况!B9="房地产市场价值","房地产市场价值","房地产价值")</f>
        <v>房地产价值</v>
      </c>
      <c r="I2" s="3058"/>
    </row>
    <row r="3" spans="1:9" ht="15">
      <c r="A3" s="3052"/>
      <c r="B3" s="3052"/>
      <c r="C3" s="3052"/>
      <c r="D3" s="1040" t="s">
        <v>1630</v>
      </c>
      <c r="E3" s="1040" t="s">
        <v>1636</v>
      </c>
      <c r="F3" s="1040" t="s">
        <v>1630</v>
      </c>
      <c r="G3" s="1040" t="s">
        <v>1631</v>
      </c>
      <c r="H3" s="1040" t="s">
        <v>1630</v>
      </c>
      <c r="I3" s="1040" t="s">
        <v>1631</v>
      </c>
    </row>
    <row r="4" spans="1:9" ht="45">
      <c r="A4" s="1968" t="str">
        <f>项目基本情况!S2</f>
        <v>北京市朝阳区朝阳路67号9号楼、10号楼、1号楼等35套商业用房房地产</v>
      </c>
      <c r="B4" s="1040">
        <f>项目基本情况!C17</f>
        <v>3095.6800000000007</v>
      </c>
      <c r="C4" s="1040">
        <f>项目基本情况!C18</f>
        <v>0</v>
      </c>
      <c r="D4" s="1040">
        <f ca="1">结果表!D118</f>
        <v>6413</v>
      </c>
      <c r="E4" s="1040">
        <f ca="1">结果表!E118</f>
        <v>20716</v>
      </c>
      <c r="F4" s="1040">
        <f ca="1">结果表!F118</f>
        <v>2003</v>
      </c>
      <c r="G4" s="1040">
        <f ca="1">结果表!G118</f>
        <v>6470</v>
      </c>
      <c r="H4" s="1040">
        <f ca="1">结果表!H118</f>
        <v>8416</v>
      </c>
      <c r="I4" s="1040">
        <f ca="1">结果表!I118</f>
        <v>27186</v>
      </c>
    </row>
    <row r="5" spans="1:9" ht="30" customHeight="1">
      <c r="A5" s="3052" t="s">
        <v>1632</v>
      </c>
      <c r="B5" s="3052"/>
      <c r="C5" s="3052"/>
      <c r="D5" s="3053" t="str">
        <f ca="1">结果表!D119</f>
        <v>陆仟肆佰壹拾叁万元整</v>
      </c>
      <c r="E5" s="3053"/>
      <c r="F5" s="3053" t="str">
        <f ca="1">结果表!F119</f>
        <v>贰仟零叁万元整</v>
      </c>
      <c r="G5" s="3053"/>
      <c r="H5" s="3053" t="str">
        <f ca="1">结果表!H119</f>
        <v>捌仟肆佰壹拾陆万元整</v>
      </c>
      <c r="I5" s="3053"/>
    </row>
    <row r="6" spans="1:9" ht="15.75">
      <c r="A6" s="3051" t="str">
        <f>结果表!A120</f>
        <v>估价师知悉的法定优先受偿款</v>
      </c>
      <c r="B6" s="3051"/>
      <c r="C6" s="3051"/>
      <c r="D6" s="3051">
        <f>结果表!D120</f>
        <v>0</v>
      </c>
      <c r="E6" s="3051"/>
      <c r="F6" s="3051"/>
      <c r="G6" s="3051"/>
      <c r="H6" s="3051"/>
      <c r="I6" s="3051"/>
    </row>
    <row r="7" spans="1:9" ht="15">
      <c r="A7" s="3052" t="s">
        <v>1632</v>
      </c>
      <c r="B7" s="3052"/>
      <c r="C7" s="3052"/>
      <c r="D7" s="3054" t="str">
        <f>结果表!D121</f>
        <v>零元整</v>
      </c>
      <c r="E7" s="3055"/>
      <c r="F7" s="3055"/>
      <c r="G7" s="3055"/>
      <c r="H7" s="3055"/>
      <c r="I7" s="3056"/>
    </row>
    <row r="8" spans="1:9" ht="15.75">
      <c r="A8" s="3051" t="str">
        <f>结果表!A122</f>
        <v>房地产抵押价值</v>
      </c>
      <c r="B8" s="3051"/>
      <c r="C8" s="3051"/>
      <c r="D8" s="3051">
        <f ca="1">结果表!D122</f>
        <v>8416</v>
      </c>
      <c r="E8" s="3051"/>
      <c r="F8" s="3051"/>
      <c r="G8" s="3051"/>
      <c r="H8" s="3051"/>
      <c r="I8" s="3051"/>
    </row>
    <row r="9" spans="1:9" ht="15">
      <c r="A9" s="3052" t="s">
        <v>1632</v>
      </c>
      <c r="B9" s="3052"/>
      <c r="C9" s="3052"/>
      <c r="D9" s="3053" t="str">
        <f ca="1">结果表!D123</f>
        <v>捌仟肆佰壹拾陆万元整</v>
      </c>
      <c r="E9" s="3053"/>
      <c r="F9" s="3053"/>
      <c r="G9" s="3053"/>
      <c r="H9" s="3053"/>
      <c r="I9" s="3053"/>
    </row>
    <row r="10" spans="1:9" ht="15.75">
      <c r="A10" s="3051" t="str">
        <f>结果表!A124</f>
        <v/>
      </c>
      <c r="B10" s="3051"/>
      <c r="C10" s="3051"/>
      <c r="D10" s="3051" t="str">
        <f>结果表!D124</f>
        <v>——</v>
      </c>
      <c r="E10" s="3051"/>
      <c r="F10" s="3051"/>
      <c r="G10" s="3051"/>
      <c r="H10" s="3051"/>
      <c r="I10" s="3051"/>
    </row>
    <row r="11" spans="1:9" ht="15">
      <c r="A11" s="3052" t="s">
        <v>1632</v>
      </c>
      <c r="B11" s="3052"/>
      <c r="C11" s="3052"/>
      <c r="D11" s="3053" t="e">
        <f>结果表!D125</f>
        <v>#VALUE!</v>
      </c>
      <c r="E11" s="3053"/>
      <c r="F11" s="3053"/>
      <c r="G11" s="3053"/>
      <c r="H11" s="3053"/>
      <c r="I11" s="3053"/>
    </row>
    <row r="12" spans="1:9" ht="15.75">
      <c r="A12" s="3051" t="str">
        <f>结果表!A126</f>
        <v/>
      </c>
      <c r="B12" s="3051"/>
      <c r="C12" s="3051"/>
      <c r="D12" s="3051" t="str">
        <f>结果表!D126</f>
        <v>——</v>
      </c>
      <c r="E12" s="3051"/>
      <c r="F12" s="3051"/>
      <c r="G12" s="3051"/>
      <c r="H12" s="3051"/>
      <c r="I12" s="3051"/>
    </row>
    <row r="13" spans="1:9" ht="15.75" thickBot="1">
      <c r="A13" s="3048" t="s">
        <v>1632</v>
      </c>
      <c r="B13" s="3048"/>
      <c r="C13" s="3048"/>
      <c r="D13" s="3049" t="e">
        <f>结果表!D127</f>
        <v>#VALUE!</v>
      </c>
      <c r="E13" s="3049"/>
      <c r="F13" s="3049"/>
      <c r="G13" s="3049"/>
      <c r="H13" s="3049"/>
      <c r="I13" s="3049"/>
    </row>
    <row r="14" spans="1:9" ht="15" thickTop="1">
      <c r="A14" s="3050" t="s">
        <v>1637</v>
      </c>
      <c r="B14" s="3050"/>
      <c r="C14" s="3050"/>
      <c r="D14" s="3050"/>
      <c r="E14" s="3050"/>
      <c r="F14" s="3050"/>
      <c r="G14" s="3050"/>
      <c r="H14" s="3050"/>
      <c r="I14" s="3050"/>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65" t="s">
        <v>1654</v>
      </c>
      <c r="B1" s="3065"/>
      <c r="C1" s="3065"/>
      <c r="D1" s="3065"/>
    </row>
    <row r="2" spans="1:4" ht="18">
      <c r="A2" s="3066" t="s">
        <v>1638</v>
      </c>
      <c r="B2" s="3066"/>
      <c r="C2" s="3066"/>
      <c r="D2" s="3066"/>
    </row>
    <row r="3" spans="1:4" ht="18.75">
      <c r="A3" s="1972" t="s">
        <v>1639</v>
      </c>
      <c r="B3" s="1972" t="s">
        <v>1640</v>
      </c>
      <c r="C3" s="1972" t="s">
        <v>1641</v>
      </c>
      <c r="D3" s="1972" t="s">
        <v>1642</v>
      </c>
    </row>
    <row r="4" spans="1:4" ht="56.25" customHeight="1">
      <c r="A4" s="1973" t="str">
        <f>项目基本情况!B4</f>
        <v>郑燚</v>
      </c>
      <c r="B4" s="1974">
        <f ca="1">项目基本情况!C4</f>
        <v>1120070131</v>
      </c>
      <c r="C4" s="1975"/>
      <c r="D4" s="1976" t="s">
        <v>1643</v>
      </c>
    </row>
    <row r="5" spans="1:4" ht="56.25" customHeight="1">
      <c r="A5" s="1973" t="str">
        <f>项目基本情况!D4</f>
        <v>吴薇</v>
      </c>
      <c r="B5" s="1974">
        <f ca="1">项目基本情况!E4</f>
        <v>1419970001</v>
      </c>
      <c r="C5" s="1977"/>
      <c r="D5" s="1976" t="s">
        <v>1643</v>
      </c>
    </row>
    <row r="6" spans="1:4" ht="18">
      <c r="A6" s="3066" t="s">
        <v>1644</v>
      </c>
      <c r="B6" s="3066"/>
      <c r="C6" s="3066"/>
      <c r="D6" s="3066"/>
    </row>
    <row r="7" spans="1:4" ht="18.75">
      <c r="A7" s="1972" t="s">
        <v>1639</v>
      </c>
      <c r="B7" s="1974" t="s">
        <v>1645</v>
      </c>
      <c r="C7" s="1972" t="s">
        <v>1641</v>
      </c>
      <c r="D7" s="1972" t="s">
        <v>1642</v>
      </c>
    </row>
    <row r="8" spans="1:4" ht="56.25" customHeight="1">
      <c r="A8" s="1978" t="s">
        <v>866</v>
      </c>
      <c r="B8" s="1978" t="s">
        <v>1</v>
      </c>
      <c r="C8" s="1975"/>
      <c r="D8" s="1976" t="s">
        <v>1643</v>
      </c>
    </row>
    <row r="9" spans="1:4">
      <c r="A9" s="724"/>
      <c r="B9" s="724"/>
      <c r="C9" s="724"/>
      <c r="D9" s="724"/>
    </row>
    <row r="10" spans="1:4" ht="18.75">
      <c r="A10" s="1979" t="s">
        <v>1646</v>
      </c>
      <c r="B10" s="724"/>
      <c r="C10" s="724"/>
      <c r="D10" s="724"/>
    </row>
    <row r="11" spans="1:4" ht="30" customHeight="1">
      <c r="A11" s="3067" t="s">
        <v>1647</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59" t="str">
        <f>IF(项目基本情况!B8="抵押","4.本次评估估价师所知悉的法定优先受偿款情况说明如下：","——")</f>
        <v>4.本次评估估价师所知悉的法定优先受偿款情况说明如下：</v>
      </c>
      <c r="B14" s="3064"/>
      <c r="C14" s="3064"/>
      <c r="D14" s="3064"/>
    </row>
    <row r="15" spans="1:4" ht="42" customHeight="1">
      <c r="A15" s="3059" t="str">
        <f>IF(项目基本情况!B8="抵押","（1）"&amp;CONCATENATE(项目基本情况!L20,项目基本情况!L21,项目基本情况!L22),"——")</f>
        <v>（1）根据估价对象《房屋所有权证》复印件、《国有土地使用权》复印件，截至价值时点，估价对象抵押权未见登记。</v>
      </c>
      <c r="B15" s="3059"/>
      <c r="C15" s="3059"/>
      <c r="D15" s="3059"/>
    </row>
    <row r="16" spans="1:4" ht="30" customHeight="1">
      <c r="A16" s="3061" t="s">
        <v>1648</v>
      </c>
      <c r="B16" s="3061"/>
      <c r="C16" s="3061"/>
      <c r="D16" s="3061"/>
    </row>
    <row r="17" spans="1:4" ht="144" customHeight="1">
      <c r="A17" s="3061" t="s">
        <v>1649</v>
      </c>
      <c r="B17" s="3061"/>
      <c r="C17" s="3061"/>
      <c r="D17" s="3061"/>
    </row>
    <row r="18" spans="1:4" ht="15.75" customHeight="1">
      <c r="A18" s="3059" t="str">
        <f>IF(项目基本情况!B8="抵押",结果表!K120,"——")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9"/>
      <c r="C20" s="3059"/>
      <c r="D20" s="3059"/>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1650</v>
      </c>
      <c r="B22" s="3063"/>
      <c r="C22" s="3063"/>
      <c r="D22" s="3063"/>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60">
        <v>42551</v>
      </c>
      <c r="D31" s="30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73" t="s">
        <v>1661</v>
      </c>
      <c r="B15" s="3068" t="s">
        <v>136</v>
      </c>
      <c r="C15" s="3069"/>
    </row>
    <row r="16" spans="1:7" ht="13.5">
      <c r="A16" s="3074"/>
      <c r="B16" s="3068" t="s">
        <v>69</v>
      </c>
      <c r="C16" s="3069"/>
    </row>
    <row r="17" spans="1:3" ht="13.5">
      <c r="A17" s="3074"/>
      <c r="B17" s="3071" t="s">
        <v>1662</v>
      </c>
      <c r="C17" s="1995" t="s">
        <v>1661</v>
      </c>
    </row>
    <row r="18" spans="1:3" ht="13.5">
      <c r="A18" s="3074"/>
      <c r="B18" s="3071"/>
      <c r="C18" s="1995" t="s">
        <v>1663</v>
      </c>
    </row>
    <row r="19" spans="1:3" ht="13.5">
      <c r="A19" s="3074"/>
      <c r="B19" s="3071"/>
      <c r="C19" s="1995" t="s">
        <v>1664</v>
      </c>
    </row>
    <row r="20" spans="1:3" ht="13.5">
      <c r="A20" s="3075"/>
      <c r="B20" s="3070" t="s">
        <v>1665</v>
      </c>
      <c r="C20" s="3069"/>
    </row>
    <row r="21" spans="1:3" ht="13.5">
      <c r="A21" s="1996" t="s">
        <v>1666</v>
      </c>
      <c r="B21" s="1997"/>
      <c r="C21" s="1998"/>
    </row>
    <row r="22" spans="1:3" ht="13.5">
      <c r="A22" s="3072" t="s">
        <v>1667</v>
      </c>
      <c r="B22" s="3070" t="s">
        <v>1668</v>
      </c>
      <c r="C22" s="3069"/>
    </row>
    <row r="23" spans="1:3" ht="13.5">
      <c r="A23" s="3072"/>
      <c r="B23" s="3070" t="s">
        <v>1669</v>
      </c>
      <c r="C23" s="3069"/>
    </row>
    <row r="24" spans="1:3" ht="13.5">
      <c r="A24" s="3072"/>
      <c r="B24" s="3070" t="s">
        <v>1670</v>
      </c>
      <c r="C24" s="3069"/>
    </row>
    <row r="25" spans="1:3" ht="13.5">
      <c r="A25" s="3072"/>
      <c r="B25" s="3071" t="s">
        <v>1671</v>
      </c>
      <c r="C25" s="1995" t="s">
        <v>1672</v>
      </c>
    </row>
    <row r="26" spans="1:3" ht="13.5">
      <c r="A26" s="3072"/>
      <c r="B26" s="3071"/>
      <c r="C26" s="1995" t="s">
        <v>1673</v>
      </c>
    </row>
    <row r="27" spans="1:3" ht="13.5">
      <c r="A27" s="3072"/>
      <c r="B27" s="3071"/>
      <c r="C27" s="1995" t="s">
        <v>1674</v>
      </c>
    </row>
    <row r="28" spans="1:3" ht="13.5">
      <c r="A28" s="3072"/>
      <c r="B28" s="3071"/>
      <c r="C28" s="1995" t="s">
        <v>1675</v>
      </c>
    </row>
    <row r="29" spans="1:3" ht="13.5">
      <c r="A29" s="3072"/>
      <c r="B29" s="3071"/>
      <c r="C29" s="1995" t="s">
        <v>1676</v>
      </c>
    </row>
    <row r="30" spans="1:3" ht="13.5">
      <c r="A30" s="3072"/>
      <c r="B30" s="3071"/>
      <c r="C30" s="1995" t="s">
        <v>1677</v>
      </c>
    </row>
    <row r="31" spans="1:3" ht="13.5">
      <c r="A31" s="3072"/>
      <c r="B31" s="3071"/>
      <c r="C31" s="1995" t="s">
        <v>1678</v>
      </c>
    </row>
    <row r="32" spans="1:3" ht="13.5">
      <c r="A32" s="3072"/>
      <c r="B32" s="3071"/>
      <c r="C32" s="1995" t="s">
        <v>1679</v>
      </c>
    </row>
    <row r="33" spans="1:3" ht="13.5">
      <c r="A33" s="3072"/>
      <c r="B33" s="3071"/>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43627</v>
      </c>
      <c r="C2" s="1015" t="s">
        <v>826</v>
      </c>
      <c r="D2" s="1015"/>
    </row>
    <row r="3" spans="1:6" ht="24" customHeight="1">
      <c r="A3" s="1016" t="s">
        <v>827</v>
      </c>
      <c r="B3" s="1017" t="s">
        <v>828</v>
      </c>
      <c r="C3" s="2338" t="s">
        <v>829</v>
      </c>
      <c r="D3" s="2341" t="s">
        <v>830</v>
      </c>
      <c r="E3" s="1018" t="s">
        <v>831</v>
      </c>
      <c r="F3" s="1017" t="s">
        <v>829</v>
      </c>
    </row>
    <row r="4" spans="1:6" ht="24" customHeight="1">
      <c r="A4" s="1698" t="s">
        <v>832</v>
      </c>
      <c r="B4" s="1018">
        <f ca="1">IF(C4&lt;B2,"已过期",1119970066)</f>
        <v>1119970066</v>
      </c>
      <c r="C4" s="2339">
        <v>43849</v>
      </c>
      <c r="D4" s="2342" t="s">
        <v>832</v>
      </c>
      <c r="E4" s="1018">
        <f ca="1">IF(F4&lt;B2,"已过期",96010014)</f>
        <v>96010014</v>
      </c>
      <c r="F4" s="1026">
        <v>47118</v>
      </c>
    </row>
    <row r="5" spans="1:6" ht="24" customHeight="1">
      <c r="A5" s="1698" t="s">
        <v>833</v>
      </c>
      <c r="B5" s="1018">
        <f ca="1">IF(C5&lt;B2,"已过期",1119970074)</f>
        <v>1119970074</v>
      </c>
      <c r="C5" s="2339">
        <v>43849</v>
      </c>
      <c r="D5" s="2342" t="s">
        <v>833</v>
      </c>
      <c r="E5" s="1018">
        <f ca="1">IF(F5&lt;B2,"已过期",2002110027)</f>
        <v>2002110027</v>
      </c>
      <c r="F5" s="1026">
        <v>46752</v>
      </c>
    </row>
    <row r="6" spans="1:6" ht="24" customHeight="1">
      <c r="A6" s="1698" t="s">
        <v>834</v>
      </c>
      <c r="B6" s="1018">
        <f ca="1">IF(C6&lt;B2,"已过期",1119970111)</f>
        <v>1119970111</v>
      </c>
      <c r="C6" s="2339">
        <v>43849</v>
      </c>
      <c r="D6" s="2342" t="s">
        <v>834</v>
      </c>
      <c r="E6" s="1018">
        <f ca="1">IF(F6&lt;B2,"已过期",94010078)</f>
        <v>94010078</v>
      </c>
      <c r="F6" s="1026">
        <v>46387</v>
      </c>
    </row>
    <row r="7" spans="1:6" ht="24" customHeight="1">
      <c r="A7" s="1698" t="s">
        <v>835</v>
      </c>
      <c r="B7" s="1018">
        <f ca="1">IF(C7&lt;B2,"已过期",1120050019)</f>
        <v>1120050019</v>
      </c>
      <c r="C7" s="2339">
        <v>44395</v>
      </c>
      <c r="D7" s="2342" t="s">
        <v>835</v>
      </c>
      <c r="E7" s="1018">
        <f ca="1">IF(F7&lt;B2,"已过期",2002110030)</f>
        <v>2002110030</v>
      </c>
      <c r="F7" s="1026">
        <v>46387</v>
      </c>
    </row>
    <row r="8" spans="1:6" ht="24" customHeight="1">
      <c r="A8" s="1698" t="s">
        <v>836</v>
      </c>
      <c r="B8" s="1018">
        <f ca="1">IF(C8&lt;B2,"已过期",1120000080)</f>
        <v>1120000080</v>
      </c>
      <c r="C8" s="2339">
        <v>43849</v>
      </c>
      <c r="D8" s="2342" t="s">
        <v>836</v>
      </c>
      <c r="E8" s="1018">
        <f ca="1">IF(F8&lt;B2,"已过期",2000110082)</f>
        <v>2000110082</v>
      </c>
      <c r="F8" s="1026">
        <v>46387</v>
      </c>
    </row>
    <row r="9" spans="1:6" ht="24" customHeight="1">
      <c r="A9" s="1698" t="s">
        <v>837</v>
      </c>
      <c r="B9" s="1018">
        <f ca="1">IF(C9&lt;B2,"已过期",1419970001)</f>
        <v>1419970001</v>
      </c>
      <c r="C9" s="2339">
        <v>43867</v>
      </c>
      <c r="D9" s="2342" t="s">
        <v>837</v>
      </c>
      <c r="E9" s="1018">
        <f ca="1">IF(F9&lt;B2,"已过期",2002110125)</f>
        <v>2002110125</v>
      </c>
      <c r="F9" s="1026">
        <v>47118</v>
      </c>
    </row>
    <row r="10" spans="1:6" ht="24" customHeight="1">
      <c r="A10" s="1698" t="s">
        <v>838</v>
      </c>
      <c r="B10" s="1018" t="str">
        <f ca="1">IF(C10&lt;B2,"已过期",1120060040)</f>
        <v>已过期</v>
      </c>
      <c r="C10" s="2339">
        <v>43483</v>
      </c>
      <c r="D10" s="2342" t="s">
        <v>838</v>
      </c>
      <c r="E10" s="1018">
        <f ca="1">IF(F10&lt;B2,"已过期",2004110096)</f>
        <v>2004110096</v>
      </c>
      <c r="F10" s="1026">
        <v>47118</v>
      </c>
    </row>
    <row r="11" spans="1:6" ht="24" customHeight="1">
      <c r="A11" s="1698" t="s">
        <v>839</v>
      </c>
      <c r="B11" s="1018" t="str">
        <f ca="1">IF(C11&lt;B2,"已过期",1120100036)</f>
        <v>已过期</v>
      </c>
      <c r="C11" s="2339">
        <v>43622</v>
      </c>
      <c r="D11" s="2342" t="s">
        <v>839</v>
      </c>
      <c r="E11" s="1018">
        <f ca="1">IF(F11&lt;B2,"已过期",2010110070)</f>
        <v>2010110070</v>
      </c>
      <c r="F11" s="1026">
        <v>47907</v>
      </c>
    </row>
    <row r="12" spans="1:6" ht="24" customHeight="1">
      <c r="A12" s="1698"/>
      <c r="B12" s="1018"/>
      <c r="C12" s="2922"/>
      <c r="D12" s="1698"/>
      <c r="E12" s="1018"/>
      <c r="F12" s="1026"/>
    </row>
    <row r="13" spans="1:6" ht="24" customHeight="1">
      <c r="A13" s="1698" t="s">
        <v>840</v>
      </c>
      <c r="B13" s="1018">
        <f ca="1">IF(C13&lt;B2,"已过期",1120070131)</f>
        <v>1120070131</v>
      </c>
      <c r="C13" s="2339">
        <v>43814</v>
      </c>
      <c r="D13" s="2342" t="s">
        <v>840</v>
      </c>
      <c r="E13" s="1018">
        <f ca="1">IF(F13&lt;B2,"已过期",2014110011)</f>
        <v>2014110011</v>
      </c>
      <c r="F13" s="1026">
        <v>49302</v>
      </c>
    </row>
    <row r="14" spans="1:6" ht="24" customHeight="1">
      <c r="A14" s="1698" t="s">
        <v>3036</v>
      </c>
      <c r="B14" s="1018">
        <f ca="1">IF(C14&lt;B2,"已过期",1120040230)</f>
        <v>1120040230</v>
      </c>
      <c r="C14" s="2339">
        <v>43835</v>
      </c>
      <c r="D14" s="2342" t="s">
        <v>3036</v>
      </c>
      <c r="E14" s="1018">
        <f ca="1">IF(F14&lt;B2,"已过期",98030020)</f>
        <v>98030020</v>
      </c>
      <c r="F14" s="1026">
        <v>47118</v>
      </c>
    </row>
    <row r="15" spans="1:6" ht="24" customHeight="1">
      <c r="A15" s="1699" t="s">
        <v>3037</v>
      </c>
      <c r="B15" s="1018">
        <f ca="1">IF(C15&lt;B2,"已过期",1120070085)</f>
        <v>1120070085</v>
      </c>
      <c r="C15" s="2339">
        <v>43814</v>
      </c>
      <c r="D15" s="2343" t="s">
        <v>3037</v>
      </c>
      <c r="E15" s="1018">
        <f ca="1">IF(F15&lt;B2,"已过期",2004110128)</f>
        <v>2004110128</v>
      </c>
      <c r="F15" s="1019">
        <v>47118</v>
      </c>
    </row>
    <row r="16" spans="1:6" ht="24" customHeight="1">
      <c r="A16" s="1698" t="s">
        <v>3038</v>
      </c>
      <c r="B16" s="1018">
        <f ca="1">IF(C16&lt;B2,"已过期",1120140022)</f>
        <v>1120140022</v>
      </c>
      <c r="C16" s="2922">
        <v>44029</v>
      </c>
      <c r="D16" s="2342" t="s">
        <v>3038</v>
      </c>
      <c r="E16" s="1018">
        <f ca="1">IF(F16&lt;B2,"已过期",2008110059)</f>
        <v>2008110059</v>
      </c>
      <c r="F16" s="1026">
        <v>47177</v>
      </c>
    </row>
    <row r="17" spans="1:7" ht="24" customHeight="1">
      <c r="A17" s="1698"/>
      <c r="B17" s="1018"/>
      <c r="C17" s="2339"/>
      <c r="D17" s="2342" t="s">
        <v>3039</v>
      </c>
      <c r="E17" s="1018">
        <f ca="1">IF(F17&lt;B2,"已过期",2014110076)</f>
        <v>2014110076</v>
      </c>
      <c r="F17" s="1026">
        <v>49302</v>
      </c>
    </row>
    <row r="18" spans="1:7" ht="24" customHeight="1">
      <c r="A18" s="1698"/>
      <c r="B18" s="1018"/>
      <c r="C18" s="2339"/>
      <c r="D18" s="2342"/>
      <c r="E18" s="1018"/>
      <c r="F18" s="1026"/>
    </row>
    <row r="19" spans="1:7" ht="24" customHeight="1">
      <c r="A19" s="1698"/>
      <c r="B19" s="1018"/>
      <c r="C19" s="2339"/>
      <c r="D19" s="2342"/>
      <c r="E19" s="1018"/>
      <c r="F19" s="1018"/>
    </row>
    <row r="20" spans="1:7" ht="24" customHeight="1">
      <c r="A20" s="1698"/>
      <c r="B20" s="1018"/>
      <c r="C20" s="2339"/>
      <c r="D20" s="2342"/>
      <c r="E20" s="1018"/>
      <c r="F20" s="1018"/>
    </row>
    <row r="21" spans="1:7" ht="24" customHeight="1">
      <c r="A21" s="1698"/>
      <c r="B21" s="1018"/>
      <c r="C21" s="2339"/>
      <c r="D21" s="2342" t="s">
        <v>841</v>
      </c>
      <c r="E21" s="1018">
        <f ca="1">IF(F21&lt;B2,"已过期",2011110090)</f>
        <v>2011110090</v>
      </c>
      <c r="F21" s="1026">
        <v>48302</v>
      </c>
    </row>
    <row r="22" spans="1:7" ht="24" customHeight="1">
      <c r="A22" s="1698" t="s">
        <v>842</v>
      </c>
      <c r="B22" s="1018">
        <f ca="1">IF(C22&lt;B2,"已过期",1120020033)</f>
        <v>1120020033</v>
      </c>
      <c r="C22" s="2922">
        <v>44339</v>
      </c>
      <c r="D22" s="2342" t="s">
        <v>842</v>
      </c>
      <c r="E22" s="1018">
        <f ca="1">IF(F22&lt;B2,"已过期",2000110137)</f>
        <v>2000110137</v>
      </c>
      <c r="F22" s="1026">
        <v>46387</v>
      </c>
    </row>
    <row r="23" spans="1:7" ht="24" customHeight="1">
      <c r="A23" s="1698"/>
      <c r="B23" s="1018"/>
      <c r="C23" s="2339"/>
      <c r="D23" s="2342"/>
      <c r="E23" s="1018"/>
      <c r="F23" s="1018"/>
    </row>
    <row r="24" spans="1:7" s="1020" customFormat="1" ht="24" customHeight="1">
      <c r="A24" s="1699" t="s">
        <v>1329</v>
      </c>
      <c r="B24" s="1699" t="s">
        <v>1329</v>
      </c>
      <c r="C24" s="2340" t="s">
        <v>1329</v>
      </c>
      <c r="D24" s="2343" t="s">
        <v>1329</v>
      </c>
      <c r="E24" s="1699" t="s">
        <v>1329</v>
      </c>
      <c r="F24" s="1699" t="s">
        <v>1329</v>
      </c>
    </row>
    <row r="25" spans="1:7" ht="24" customHeight="1">
      <c r="A25" s="3076" t="s">
        <v>843</v>
      </c>
      <c r="B25" s="3076"/>
      <c r="C25" s="3076"/>
      <c r="D25" s="3076"/>
      <c r="E25" s="3076"/>
      <c r="F25" s="3076"/>
      <c r="G25" s="3076"/>
    </row>
    <row r="26" spans="1:7" s="1021" customFormat="1" ht="24" customHeight="1">
      <c r="A26" s="3077" t="s">
        <v>844</v>
      </c>
      <c r="B26" s="3077"/>
      <c r="C26" s="3078"/>
      <c r="D26" s="3079" t="s">
        <v>845</v>
      </c>
      <c r="E26" s="3077"/>
      <c r="F26" s="3077"/>
    </row>
    <row r="27" spans="1:7" s="1023" customFormat="1" ht="24" customHeight="1">
      <c r="A27" s="1022" t="s">
        <v>846</v>
      </c>
      <c r="B27" s="1017" t="s">
        <v>847</v>
      </c>
      <c r="C27" s="2338" t="s">
        <v>848</v>
      </c>
      <c r="D27" s="2346" t="s">
        <v>846</v>
      </c>
      <c r="E27" s="1017" t="s">
        <v>847</v>
      </c>
      <c r="F27" s="1017" t="s">
        <v>848</v>
      </c>
    </row>
    <row r="28" spans="1:7" s="1023" customFormat="1" ht="24" customHeight="1">
      <c r="A28" s="1024" t="s">
        <v>849</v>
      </c>
      <c r="B28" s="1025" t="s">
        <v>850</v>
      </c>
      <c r="C28" s="2344">
        <v>43725</v>
      </c>
      <c r="D28" s="2347" t="s">
        <v>851</v>
      </c>
      <c r="E28" s="1024" t="s">
        <v>852</v>
      </c>
      <c r="F28" s="1054">
        <v>44377</v>
      </c>
    </row>
    <row r="29" spans="1:7" s="1023" customFormat="1" ht="24" customHeight="1">
      <c r="A29" s="1024"/>
      <c r="B29" s="1024"/>
      <c r="C29" s="2345"/>
      <c r="D29" s="2347" t="s">
        <v>853</v>
      </c>
      <c r="E29" s="1198" t="s">
        <v>1376</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2019-06-11T07:34:33Z</dcterms:modified>
</cp:coreProperties>
</file>