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2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住宅" sheetId="21" r:id="rId20"/>
    <sheet name="收益法 (元)" sheetId="67" r:id="rId21"/>
    <sheet name="收益法（汇总）" sheetId="70" state="hidden" r:id="rId22"/>
    <sheet name="比较法-住宅租金" sheetId="77" r:id="rId23"/>
    <sheet name="收益法" sheetId="15" state="hidden" r:id="rId24"/>
    <sheet name="酒店收入计算" sheetId="66" state="hidden" r:id="rId25"/>
    <sheet name="成本法" sheetId="68" state="hidden" r:id="rId26"/>
    <sheet name="典型户型修正" sheetId="31" r:id="rId27"/>
    <sheet name="成本法 (元)" sheetId="69"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22" hidden="1">'比较法-住宅租金'!$A$1:$L$49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'比较法-住宅租金'!$B$88:$M$88</definedName>
    <definedName name="住宅朝向">'比较法-住宅'!$B$88:$M$88</definedName>
    <definedName name="住宅房型" localSheetId="22">'比较法-住宅租金'!$B$118:$M$118</definedName>
    <definedName name="住宅房型">'比较法-住宅'!$B$118:$M$118</definedName>
    <definedName name="住宅公共部分装修" localSheetId="22">'比较法-住宅租金'!$B$109:$M$109</definedName>
    <definedName name="住宅公共部分装修">'比较法-住宅'!$B$109:$M$109</definedName>
    <definedName name="住宅基础设施水平" localSheetId="22">'比较法-住宅租金'!$B$116:$M$116</definedName>
    <definedName name="住宅基础设施水平">'比较法-住宅'!$B$116:$M$116</definedName>
    <definedName name="住宅建筑结构" localSheetId="22">'比较法-住宅租金'!$B$105:$M$105</definedName>
    <definedName name="住宅建筑结构">'比较法-住宅'!$B$105:$M$105</definedName>
    <definedName name="住宅建筑类型" localSheetId="22">'比较法-住宅租金'!$B$100:$M$100</definedName>
    <definedName name="住宅建筑类型">'比较法-住宅'!$B$100:$M$100</definedName>
    <definedName name="住宅建筑品质" localSheetId="22">'比较法-住宅租金'!$B$107:$M$107</definedName>
    <definedName name="住宅建筑品质">'比较法-住宅'!$B$107:$M$107</definedName>
    <definedName name="住宅交易情况" localSheetId="22">'比较法-住宅租金'!$A$61:$M$61</definedName>
    <definedName name="住宅交易情况">'比较法-住宅'!$A$61:$M$61</definedName>
    <definedName name="住宅楼层" localSheetId="22">'比较法-住宅租金'!$B$86:$M$86</definedName>
    <definedName name="住宅楼层">'比较法-住宅'!$B$86:$M$86</definedName>
    <definedName name="住宅内部装修" localSheetId="22">'比较法-住宅租金'!$B$122:$M$122</definedName>
    <definedName name="住宅内部装修">'比较法-住宅'!$B$122:$M$122</definedName>
    <definedName name="住宅物业管理" localSheetId="22">'比较法-住宅租金'!$B$114:$M$114</definedName>
    <definedName name="住宅物业管理">'比较法-住宅'!$B$114:$M$114</definedName>
    <definedName name="住宅用途" localSheetId="22">'比较法-住宅租金'!$B$63:$M$63</definedName>
    <definedName name="住宅用途">'比较法-住宅'!$B$63:$M$63</definedName>
    <definedName name="住宅主力户型面积" localSheetId="22">'比较法-住宅租金'!$B$120:$M$120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F43" i="67"/>
  <c r="C14" i="67"/>
  <c r="C15" i="67"/>
  <c r="F16" i="67"/>
  <c r="C16" i="67"/>
  <c r="C17" i="67"/>
  <c r="C18" i="67"/>
  <c r="C19" i="67"/>
  <c r="C20" i="67"/>
  <c r="D5" i="73"/>
  <c r="G1" i="73"/>
  <c r="B40" i="1"/>
  <c r="F24" i="67"/>
  <c r="C23" i="67"/>
  <c r="F26" i="67"/>
  <c r="C26" i="67"/>
  <c r="C24" i="67"/>
  <c r="C27" i="67"/>
  <c r="C29" i="67"/>
  <c r="C33" i="67"/>
  <c r="R6" i="1"/>
  <c r="F35" i="67"/>
  <c r="C34" i="67"/>
  <c r="C31" i="67"/>
  <c r="F36" i="67"/>
  <c r="C36" i="67"/>
  <c r="F13" i="67"/>
  <c r="C13" i="67"/>
  <c r="F37" i="67"/>
  <c r="C37" i="67"/>
  <c r="F38" i="67"/>
  <c r="C38" i="67"/>
  <c r="C30" i="67"/>
  <c r="C39" i="67"/>
  <c r="F42" i="67"/>
  <c r="F40" i="67"/>
  <c r="AE6" i="1"/>
  <c r="F41" i="67"/>
  <c r="C40" i="67"/>
  <c r="M6" i="67"/>
  <c r="M8" i="67"/>
  <c r="M7" i="67"/>
  <c r="M9" i="67"/>
  <c r="J6" i="67"/>
  <c r="M11" i="67"/>
  <c r="J10" i="67"/>
  <c r="J5" i="67"/>
  <c r="J26" i="67"/>
  <c r="J29" i="67"/>
  <c r="D2" i="67"/>
  <c r="B3" i="67"/>
  <c r="D20" i="9"/>
  <c r="G20" i="9"/>
  <c r="R24" i="31"/>
  <c r="I47" i="77"/>
  <c r="G47" i="77"/>
  <c r="E47" i="77"/>
  <c r="F36" i="21"/>
  <c r="AA36" i="21"/>
  <c r="F41" i="21"/>
  <c r="AA41" i="21"/>
  <c r="B90" i="21"/>
  <c r="F27" i="21"/>
  <c r="AA27" i="21"/>
  <c r="R48" i="21"/>
  <c r="H36" i="21"/>
  <c r="AB36" i="21"/>
  <c r="H27" i="21"/>
  <c r="AB27" i="21"/>
  <c r="T48" i="21"/>
  <c r="J36" i="21"/>
  <c r="AC36" i="21"/>
  <c r="J27" i="21"/>
  <c r="AC27" i="21"/>
  <c r="V48" i="21"/>
  <c r="R49" i="21"/>
  <c r="C49" i="21"/>
  <c r="B3" i="21"/>
  <c r="F33" i="77"/>
  <c r="AA33" i="77"/>
  <c r="R47" i="77"/>
  <c r="F36" i="77"/>
  <c r="AA36" i="77"/>
  <c r="F41" i="77"/>
  <c r="AA41" i="77"/>
  <c r="F10" i="77"/>
  <c r="AA10" i="77"/>
  <c r="F37" i="77"/>
  <c r="AA37" i="77"/>
  <c r="E87" i="77"/>
  <c r="D87" i="77"/>
  <c r="F25" i="77"/>
  <c r="AA25" i="77"/>
  <c r="B90" i="77"/>
  <c r="F27" i="77"/>
  <c r="AA27" i="77"/>
  <c r="R48" i="77"/>
  <c r="H36" i="77"/>
  <c r="AB36" i="77"/>
  <c r="H33" i="77"/>
  <c r="AB33" i="77"/>
  <c r="H38" i="77"/>
  <c r="AB38" i="77"/>
  <c r="H41" i="77"/>
  <c r="AB41" i="77"/>
  <c r="T47" i="77"/>
  <c r="H10" i="77"/>
  <c r="AB10" i="77"/>
  <c r="H37" i="77"/>
  <c r="AB37" i="77"/>
  <c r="H25" i="77"/>
  <c r="AB25" i="77"/>
  <c r="H27" i="77"/>
  <c r="AB27" i="77"/>
  <c r="T48" i="77"/>
  <c r="J36" i="77"/>
  <c r="AC36" i="77"/>
  <c r="J26" i="77"/>
  <c r="AC26" i="77"/>
  <c r="J33" i="77"/>
  <c r="AC33" i="77"/>
  <c r="J41" i="77"/>
  <c r="AC41" i="77"/>
  <c r="J35" i="77"/>
  <c r="AC35" i="77"/>
  <c r="J38" i="77"/>
  <c r="AC38" i="77"/>
  <c r="V47" i="77"/>
  <c r="J37" i="77"/>
  <c r="AC37" i="77"/>
  <c r="J10" i="77"/>
  <c r="AC10" i="77"/>
  <c r="I87" i="77"/>
  <c r="J25" i="77"/>
  <c r="AC25" i="77"/>
  <c r="J27" i="77"/>
  <c r="AC27" i="77"/>
  <c r="V48" i="77"/>
  <c r="R49" i="77"/>
  <c r="C49" i="77"/>
  <c r="U6" i="1"/>
  <c r="C17" i="9"/>
  <c r="D14" i="9"/>
  <c r="D17" i="9"/>
  <c r="C18" i="9"/>
  <c r="D18" i="9"/>
  <c r="F3" i="31"/>
  <c r="G3" i="31"/>
  <c r="H3" i="31"/>
  <c r="I3" i="31"/>
  <c r="J3" i="31"/>
  <c r="E3" i="31"/>
  <c r="D3" i="31"/>
  <c r="C3" i="31"/>
  <c r="F52" i="67"/>
  <c r="F49" i="67"/>
  <c r="J140" i="77"/>
  <c r="C145" i="77"/>
  <c r="K139" i="77"/>
  <c r="K145" i="77"/>
  <c r="K144" i="77"/>
  <c r="K143" i="77"/>
  <c r="J142" i="77"/>
  <c r="K141" i="77"/>
  <c r="B130" i="77"/>
  <c r="B128" i="77"/>
  <c r="B126" i="77"/>
  <c r="D125" i="77"/>
  <c r="E125" i="77"/>
  <c r="F125" i="77"/>
  <c r="G125" i="77"/>
  <c r="D123" i="77"/>
  <c r="E123" i="77"/>
  <c r="F123" i="77"/>
  <c r="G123" i="77"/>
  <c r="H123" i="77"/>
  <c r="I123" i="77"/>
  <c r="J123" i="77"/>
  <c r="K123" i="77"/>
  <c r="L123" i="77"/>
  <c r="M123" i="77"/>
  <c r="D119" i="77"/>
  <c r="E119" i="77"/>
  <c r="F119" i="77"/>
  <c r="G119" i="77"/>
  <c r="H119" i="77"/>
  <c r="I119" i="77"/>
  <c r="J119" i="77"/>
  <c r="K119" i="77"/>
  <c r="L119" i="77"/>
  <c r="M119" i="77"/>
  <c r="D117" i="77"/>
  <c r="E117" i="77"/>
  <c r="F117" i="77"/>
  <c r="G117" i="77"/>
  <c r="D115" i="77"/>
  <c r="E115" i="77"/>
  <c r="F115" i="77"/>
  <c r="G115" i="77"/>
  <c r="H115" i="77"/>
  <c r="I115" i="77"/>
  <c r="J115" i="77"/>
  <c r="K115" i="77"/>
  <c r="L115" i="77"/>
  <c r="M115" i="77"/>
  <c r="D113" i="77"/>
  <c r="E113" i="77"/>
  <c r="F113" i="77"/>
  <c r="G113" i="77"/>
  <c r="H113" i="77"/>
  <c r="H111" i="77"/>
  <c r="G111" i="77"/>
  <c r="F111" i="77"/>
  <c r="E111" i="77"/>
  <c r="D111" i="77"/>
  <c r="C111" i="77"/>
  <c r="D110" i="77"/>
  <c r="E110" i="77"/>
  <c r="F110" i="77"/>
  <c r="G110" i="77"/>
  <c r="H110" i="77"/>
  <c r="I110" i="77"/>
  <c r="J110" i="77"/>
  <c r="K110" i="77"/>
  <c r="L110" i="77"/>
  <c r="M110" i="77"/>
  <c r="D108" i="77"/>
  <c r="E108" i="77"/>
  <c r="F108" i="77"/>
  <c r="G108" i="77"/>
  <c r="H108" i="77"/>
  <c r="I108" i="77"/>
  <c r="J108" i="77"/>
  <c r="K108" i="77"/>
  <c r="L108" i="77"/>
  <c r="M108" i="77"/>
  <c r="D106" i="77"/>
  <c r="E106" i="77"/>
  <c r="F106" i="77"/>
  <c r="G106" i="77"/>
  <c r="H106" i="77"/>
  <c r="I106" i="77"/>
  <c r="J106" i="77"/>
  <c r="K106" i="77"/>
  <c r="L106" i="77"/>
  <c r="M106" i="77"/>
  <c r="M102" i="77"/>
  <c r="L102" i="77"/>
  <c r="K102" i="77"/>
  <c r="J102" i="77"/>
  <c r="I102" i="77"/>
  <c r="H102" i="77"/>
  <c r="G102" i="77"/>
  <c r="F102" i="77"/>
  <c r="E102" i="77"/>
  <c r="D102" i="77"/>
  <c r="C102" i="77"/>
  <c r="D101" i="77"/>
  <c r="E101" i="77"/>
  <c r="F101" i="77"/>
  <c r="G101" i="77"/>
  <c r="H101" i="77"/>
  <c r="I101" i="77"/>
  <c r="J101" i="77"/>
  <c r="K101" i="77"/>
  <c r="L101" i="77"/>
  <c r="M101" i="77"/>
  <c r="B98" i="77"/>
  <c r="B96" i="77"/>
  <c r="B94" i="77"/>
  <c r="B92" i="77"/>
  <c r="D89" i="77"/>
  <c r="E89" i="77"/>
  <c r="F89" i="77"/>
  <c r="G89" i="77"/>
  <c r="H89" i="77"/>
  <c r="I89" i="77"/>
  <c r="J89" i="77"/>
  <c r="K89" i="77"/>
  <c r="L89" i="77"/>
  <c r="M89" i="77"/>
  <c r="M87" i="77"/>
  <c r="L87" i="77"/>
  <c r="K87" i="77"/>
  <c r="J87" i="77"/>
  <c r="H87" i="77"/>
  <c r="G87" i="77"/>
  <c r="F87" i="77"/>
  <c r="D85" i="77"/>
  <c r="E85" i="77"/>
  <c r="F85" i="77"/>
  <c r="G85" i="77"/>
  <c r="D83" i="77"/>
  <c r="E83" i="77"/>
  <c r="F83" i="77"/>
  <c r="G83" i="77"/>
  <c r="D81" i="77"/>
  <c r="E81" i="77"/>
  <c r="F81" i="77"/>
  <c r="G81" i="77"/>
  <c r="D79" i="77"/>
  <c r="E79" i="77"/>
  <c r="F79" i="77"/>
  <c r="G79" i="77"/>
  <c r="D77" i="77"/>
  <c r="E77" i="77"/>
  <c r="F77" i="77"/>
  <c r="G77" i="77"/>
  <c r="B74" i="77"/>
  <c r="B72" i="77"/>
  <c r="B70" i="77"/>
  <c r="D69" i="77"/>
  <c r="E69" i="77"/>
  <c r="F69" i="77"/>
  <c r="G69" i="77"/>
  <c r="H69" i="77"/>
  <c r="I69" i="77"/>
  <c r="J69" i="77"/>
  <c r="K69" i="77"/>
  <c r="L69" i="77"/>
  <c r="M69" i="77"/>
  <c r="M67" i="77"/>
  <c r="L67" i="77"/>
  <c r="K67" i="77"/>
  <c r="J67" i="77"/>
  <c r="I67" i="77"/>
  <c r="H67" i="77"/>
  <c r="G67" i="77"/>
  <c r="F67" i="77"/>
  <c r="E67" i="77"/>
  <c r="D67" i="77"/>
  <c r="C67" i="77"/>
  <c r="D66" i="77"/>
  <c r="E66" i="77"/>
  <c r="F66" i="77"/>
  <c r="G66" i="77"/>
  <c r="H66" i="77"/>
  <c r="I66" i="77"/>
  <c r="C63" i="77"/>
  <c r="C7" i="77"/>
  <c r="C58" i="77"/>
  <c r="D58" i="77"/>
  <c r="E58" i="77"/>
  <c r="F58" i="77"/>
  <c r="G58" i="77"/>
  <c r="H58" i="77"/>
  <c r="I58" i="77"/>
  <c r="J58" i="77"/>
  <c r="K58" i="77"/>
  <c r="L58" i="77"/>
  <c r="M58" i="77"/>
  <c r="N58" i="77"/>
  <c r="O58" i="77"/>
  <c r="I54" i="77"/>
  <c r="J54" i="77"/>
  <c r="G54" i="77"/>
  <c r="H54" i="77"/>
  <c r="E54" i="77"/>
  <c r="F54" i="77"/>
  <c r="J7" i="77"/>
  <c r="AC7" i="77"/>
  <c r="J8" i="77"/>
  <c r="AC8" i="77"/>
  <c r="J9" i="77"/>
  <c r="AC9" i="77"/>
  <c r="J11" i="77"/>
  <c r="AC11" i="77"/>
  <c r="J12" i="77"/>
  <c r="AC12" i="77"/>
  <c r="J13" i="77"/>
  <c r="AC13" i="77"/>
  <c r="J14" i="77"/>
  <c r="AC14" i="77"/>
  <c r="J15" i="77"/>
  <c r="AC15" i="77"/>
  <c r="J17" i="77"/>
  <c r="AC17" i="77"/>
  <c r="J19" i="77"/>
  <c r="AC19" i="77"/>
  <c r="J21" i="77"/>
  <c r="AC21" i="77"/>
  <c r="J23" i="77"/>
  <c r="AC23" i="77"/>
  <c r="J28" i="77"/>
  <c r="AC28" i="77"/>
  <c r="J29" i="77"/>
  <c r="AC29" i="77"/>
  <c r="J30" i="77"/>
  <c r="AC30" i="77"/>
  <c r="J31" i="77"/>
  <c r="AC31" i="77"/>
  <c r="J32" i="77"/>
  <c r="AC32" i="77"/>
  <c r="C33" i="77"/>
  <c r="J34" i="77"/>
  <c r="AC34" i="77"/>
  <c r="J39" i="77"/>
  <c r="AC39" i="77"/>
  <c r="J40" i="77"/>
  <c r="AC40" i="77"/>
  <c r="J42" i="77"/>
  <c r="AC42" i="77"/>
  <c r="J43" i="77"/>
  <c r="AC43" i="77"/>
  <c r="J44" i="77"/>
  <c r="AC44" i="77"/>
  <c r="J45" i="77"/>
  <c r="AC45" i="77"/>
  <c r="J46" i="77"/>
  <c r="AC46" i="77"/>
  <c r="I48" i="77"/>
  <c r="F7" i="77"/>
  <c r="AA7" i="77"/>
  <c r="F8" i="77"/>
  <c r="AA8" i="77"/>
  <c r="F9" i="77"/>
  <c r="AA9" i="77"/>
  <c r="F11" i="77"/>
  <c r="AA11" i="77"/>
  <c r="F12" i="77"/>
  <c r="AA12" i="77"/>
  <c r="F13" i="77"/>
  <c r="AA13" i="77"/>
  <c r="F14" i="77"/>
  <c r="AA14" i="77"/>
  <c r="F15" i="77"/>
  <c r="AA15" i="77"/>
  <c r="F17" i="77"/>
  <c r="AA17" i="77"/>
  <c r="F19" i="77"/>
  <c r="AA19" i="77"/>
  <c r="F21" i="77"/>
  <c r="AA21" i="77"/>
  <c r="F23" i="77"/>
  <c r="AA23" i="77"/>
  <c r="F26" i="77"/>
  <c r="AA26" i="77"/>
  <c r="F28" i="77"/>
  <c r="AA28" i="77"/>
  <c r="F29" i="77"/>
  <c r="AA29" i="77"/>
  <c r="F30" i="77"/>
  <c r="AA30" i="77"/>
  <c r="F31" i="77"/>
  <c r="AA31" i="77"/>
  <c r="F32" i="77"/>
  <c r="AA32" i="77"/>
  <c r="F34" i="77"/>
  <c r="AA34" i="77"/>
  <c r="F35" i="77"/>
  <c r="AA35" i="77"/>
  <c r="F38" i="77"/>
  <c r="AA38" i="77"/>
  <c r="F39" i="77"/>
  <c r="AA39" i="77"/>
  <c r="F40" i="77"/>
  <c r="AA40" i="77"/>
  <c r="F42" i="77"/>
  <c r="AA42" i="77"/>
  <c r="F43" i="77"/>
  <c r="AA43" i="77"/>
  <c r="F44" i="77"/>
  <c r="AA44" i="77"/>
  <c r="F45" i="77"/>
  <c r="AA45" i="77"/>
  <c r="F46" i="77"/>
  <c r="AA46" i="77"/>
  <c r="E48" i="77"/>
  <c r="I53" i="77"/>
  <c r="J53" i="77"/>
  <c r="H7" i="77"/>
  <c r="AB7" i="77"/>
  <c r="H8" i="77"/>
  <c r="AB8" i="77"/>
  <c r="H9" i="77"/>
  <c r="AB9" i="77"/>
  <c r="H11" i="77"/>
  <c r="AB11" i="77"/>
  <c r="H12" i="77"/>
  <c r="AB12" i="77"/>
  <c r="H13" i="77"/>
  <c r="AB13" i="77"/>
  <c r="H14" i="77"/>
  <c r="AB14" i="77"/>
  <c r="H15" i="77"/>
  <c r="AB15" i="77"/>
  <c r="H17" i="77"/>
  <c r="AB17" i="77"/>
  <c r="H19" i="77"/>
  <c r="AB19" i="77"/>
  <c r="H21" i="77"/>
  <c r="AB21" i="77"/>
  <c r="H23" i="77"/>
  <c r="AB23" i="77"/>
  <c r="H26" i="77"/>
  <c r="AB26" i="77"/>
  <c r="H28" i="77"/>
  <c r="AB28" i="77"/>
  <c r="H29" i="77"/>
  <c r="AB29" i="77"/>
  <c r="H30" i="77"/>
  <c r="AB30" i="77"/>
  <c r="H31" i="77"/>
  <c r="AB31" i="77"/>
  <c r="H32" i="77"/>
  <c r="AB32" i="77"/>
  <c r="H34" i="77"/>
  <c r="AB34" i="77"/>
  <c r="H35" i="77"/>
  <c r="AB35" i="77"/>
  <c r="H39" i="77"/>
  <c r="AB39" i="77"/>
  <c r="H40" i="77"/>
  <c r="AB40" i="77"/>
  <c r="H42" i="77"/>
  <c r="AB42" i="77"/>
  <c r="H43" i="77"/>
  <c r="AB43" i="77"/>
  <c r="H44" i="77"/>
  <c r="AB44" i="77"/>
  <c r="H45" i="77"/>
  <c r="AB45" i="77"/>
  <c r="H46" i="77"/>
  <c r="AB46" i="77"/>
  <c r="G48" i="77"/>
  <c r="G53" i="77"/>
  <c r="H53" i="77"/>
  <c r="E53" i="77"/>
  <c r="F53" i="77"/>
  <c r="I52" i="77"/>
  <c r="J52" i="77"/>
  <c r="G52" i="77"/>
  <c r="H52" i="77"/>
  <c r="E52" i="77"/>
  <c r="F52" i="77"/>
  <c r="P49" i="77"/>
  <c r="P48" i="77"/>
  <c r="C48" i="77"/>
  <c r="P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6" i="77"/>
  <c r="Z26" i="77"/>
  <c r="W26" i="77"/>
  <c r="U26" i="77"/>
  <c r="S26"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E19" i="6"/>
  <c r="D3" i="77"/>
  <c r="D2" i="77"/>
  <c r="B2" i="77"/>
  <c r="B3" i="77"/>
  <c r="C33" i="21"/>
  <c r="C11" i="4"/>
  <c r="B7" i="4"/>
  <c r="I5" i="71"/>
  <c r="I4" i="71"/>
  <c r="N4" i="71"/>
  <c r="L5" i="71"/>
  <c r="K5" i="71"/>
  <c r="J5" i="71"/>
  <c r="N5" i="71"/>
  <c r="P5" i="71"/>
  <c r="K4" i="71"/>
  <c r="P4" i="71"/>
  <c r="O5" i="71"/>
  <c r="J4" i="71"/>
  <c r="O4" i="71"/>
  <c r="Q5" i="71"/>
  <c r="L4" i="71"/>
  <c r="Q4" i="71"/>
  <c r="A2" i="53"/>
  <c r="K59" i="67"/>
  <c r="P61" i="67"/>
  <c r="K59" i="15"/>
  <c r="P61" i="15"/>
  <c r="P74"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6" i="71"/>
  <c r="P6" i="71"/>
  <c r="O6" i="71"/>
  <c r="N6" i="71"/>
  <c r="D5" i="43"/>
  <c r="A15" i="51"/>
  <c r="E10" i="76"/>
  <c r="B13" i="76"/>
  <c r="B11" i="76"/>
  <c r="E11" i="76"/>
  <c r="B7" i="76"/>
  <c r="B8" i="76"/>
  <c r="B10" i="76"/>
  <c r="E8" i="76"/>
  <c r="E7" i="76"/>
  <c r="B9" i="76"/>
  <c r="E13" i="76"/>
  <c r="E12" i="76"/>
  <c r="E9" i="76"/>
  <c r="B12"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F7" i="73"/>
  <c r="J1" i="73"/>
  <c r="B74" i="72"/>
  <c r="D6" i="73"/>
  <c r="F3" i="73"/>
  <c r="F5" i="73"/>
  <c r="F6" i="73"/>
  <c r="D3"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2" i="1"/>
  <c r="AO10" i="1"/>
  <c r="AO13" i="1"/>
  <c r="AO11"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O26" i="31"/>
  <c r="Q26" i="31"/>
  <c r="E26" i="31"/>
  <c r="R26" i="31"/>
  <c r="C27" i="31"/>
  <c r="O27" i="31"/>
  <c r="Q27" i="31"/>
  <c r="E27" i="31"/>
  <c r="R27" i="31"/>
  <c r="C28" i="31"/>
  <c r="O28" i="31"/>
  <c r="Q28" i="31"/>
  <c r="E28" i="31"/>
  <c r="R28" i="31"/>
  <c r="C29" i="31"/>
  <c r="O29" i="31"/>
  <c r="Q29" i="31"/>
  <c r="E29" i="31"/>
  <c r="R29" i="31"/>
  <c r="C30" i="31"/>
  <c r="O30" i="31"/>
  <c r="Q30" i="31"/>
  <c r="E30" i="31"/>
  <c r="R30" i="31"/>
  <c r="C31" i="31"/>
  <c r="O31" i="31"/>
  <c r="Q31" i="31"/>
  <c r="E31" i="31"/>
  <c r="R31" i="31"/>
  <c r="C32" i="31"/>
  <c r="O32" i="31"/>
  <c r="Q32" i="31"/>
  <c r="E32" i="31"/>
  <c r="R32" i="31"/>
  <c r="C33" i="31"/>
  <c r="O33" i="31"/>
  <c r="Q33" i="31"/>
  <c r="E33" i="31"/>
  <c r="R33" i="31"/>
  <c r="C34" i="31"/>
  <c r="O34" i="31"/>
  <c r="Q34" i="31"/>
  <c r="E34" i="31"/>
  <c r="R34" i="31"/>
  <c r="C35" i="31"/>
  <c r="O35" i="31"/>
  <c r="Q35" i="31"/>
  <c r="E35" i="31"/>
  <c r="R35" i="31"/>
  <c r="C36" i="31"/>
  <c r="O36" i="31"/>
  <c r="Q36" i="31"/>
  <c r="E36" i="31"/>
  <c r="R36" i="31"/>
  <c r="C37" i="31"/>
  <c r="O37" i="31"/>
  <c r="Q37" i="31"/>
  <c r="E37" i="31"/>
  <c r="R37" i="31"/>
  <c r="C38" i="31"/>
  <c r="O38" i="31"/>
  <c r="Q38" i="31"/>
  <c r="E38" i="31"/>
  <c r="R38" i="31"/>
  <c r="C39" i="31"/>
  <c r="O39" i="31"/>
  <c r="Q39" i="31"/>
  <c r="E39" i="31"/>
  <c r="R39" i="31"/>
  <c r="C40" i="31"/>
  <c r="O40" i="31"/>
  <c r="Q40" i="31"/>
  <c r="E40" i="31"/>
  <c r="R40" i="31"/>
  <c r="C41" i="31"/>
  <c r="O41" i="31"/>
  <c r="Q41" i="31"/>
  <c r="E41" i="31"/>
  <c r="R41" i="31"/>
  <c r="C42" i="31"/>
  <c r="O42" i="31"/>
  <c r="Q42" i="31"/>
  <c r="E42" i="31"/>
  <c r="R42" i="31"/>
  <c r="C43" i="31"/>
  <c r="O43" i="31"/>
  <c r="Q43" i="31"/>
  <c r="E43"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O25" i="31"/>
  <c r="Q25" i="31"/>
  <c r="E25" i="31"/>
  <c r="R25"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H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S36" i="21"/>
  <c r="F39" i="21"/>
  <c r="AA39" i="21"/>
  <c r="J40" i="21"/>
  <c r="W40" i="21"/>
  <c r="H35" i="21"/>
  <c r="AB35" i="21"/>
  <c r="J8" i="21"/>
  <c r="AC8" i="21"/>
  <c r="H8" i="21"/>
  <c r="U8" i="21"/>
  <c r="H10" i="21"/>
  <c r="AB10" i="21"/>
  <c r="H39" i="21"/>
  <c r="U39" i="21"/>
  <c r="J34" i="21"/>
  <c r="W34"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A9" i="40"/>
  <c r="AC9" i="40"/>
  <c r="U9" i="40"/>
  <c r="S34"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BA548" i="3"/>
  <c r="BA546" i="3"/>
  <c r="BA544" i="3"/>
  <c r="AZ544" i="3"/>
  <c r="BA542" i="3"/>
  <c r="AZ542" i="3"/>
  <c r="BA540" i="3"/>
  <c r="AZ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AZ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BQ511" i="3"/>
  <c r="BL511" i="3"/>
  <c r="AZ511" i="3"/>
  <c r="BA509" i="3"/>
  <c r="AC509" i="3"/>
  <c r="BQ509" i="3"/>
  <c r="BL509" i="3"/>
  <c r="AZ509" i="3"/>
  <c r="BL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M27" i="31"/>
  <c r="M28" i="31"/>
  <c r="M26" i="31"/>
  <c r="I26" i="31"/>
  <c r="I25" i="31"/>
  <c r="S25" i="31"/>
  <c r="K26" i="31"/>
  <c r="I27" i="31"/>
  <c r="K27" i="31"/>
  <c r="I28" i="31"/>
  <c r="K28" i="31"/>
  <c r="AC28" i="34"/>
  <c r="S21" i="40"/>
  <c r="H25" i="21"/>
  <c r="U25" i="21"/>
  <c r="F25" i="21"/>
  <c r="S25" i="21"/>
  <c r="J25" i="21"/>
  <c r="AC25" i="21"/>
  <c r="E125" i="33"/>
  <c r="F125" i="33"/>
  <c r="G125" i="33"/>
  <c r="H43" i="33"/>
  <c r="AB43" i="33"/>
  <c r="H17" i="37"/>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W47" i="34"/>
  <c r="AB13" i="34"/>
  <c r="W37" i="34"/>
  <c r="AB37" i="34"/>
  <c r="AC36" i="34"/>
  <c r="AA13" i="33"/>
  <c r="AC31" i="33"/>
  <c r="AC45" i="33"/>
  <c r="W44" i="33"/>
  <c r="U11" i="33"/>
  <c r="U19" i="21"/>
  <c r="W44" i="21"/>
  <c r="AC46" i="21"/>
  <c r="U12" i="21"/>
  <c r="AB38" i="21"/>
  <c r="F43" i="33"/>
  <c r="AA43" i="33"/>
  <c r="W15" i="34"/>
  <c r="AC15" i="34"/>
  <c r="W16" i="35"/>
  <c r="W40"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AZ116" i="3"/>
  <c r="G117" i="3"/>
  <c r="BA119" i="3"/>
  <c r="AZ119" i="3"/>
  <c r="BL120" i="3"/>
  <c r="G121" i="3"/>
  <c r="BA123" i="3"/>
  <c r="AZ123" i="3"/>
  <c r="BL124" i="3"/>
  <c r="G125" i="3"/>
  <c r="BA127" i="3"/>
  <c r="BL128" i="3"/>
  <c r="AZ128" i="3"/>
  <c r="G129" i="3"/>
  <c r="BA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38" i="3"/>
  <c r="AZ142" i="3"/>
  <c r="AZ146" i="3"/>
  <c r="AZ154" i="3"/>
  <c r="AZ162" i="3"/>
  <c r="AZ170" i="3"/>
  <c r="AZ178" i="3"/>
  <c r="AZ186" i="3"/>
  <c r="AZ194" i="3"/>
  <c r="AZ500" i="3"/>
  <c r="BA16" i="3"/>
  <c r="AZ16" i="3"/>
  <c r="BL303" i="3"/>
  <c r="G304" i="3"/>
  <c r="BA306" i="3"/>
  <c r="AZ306" i="3"/>
  <c r="BL307" i="3"/>
  <c r="AZ307" i="3"/>
  <c r="G308" i="3"/>
  <c r="BA310" i="3"/>
  <c r="AZ310" i="3"/>
  <c r="BL311" i="3"/>
  <c r="AZ311" i="3"/>
  <c r="G312" i="3"/>
  <c r="BA314" i="3"/>
  <c r="AZ314" i="3"/>
  <c r="BL315" i="3"/>
  <c r="G316" i="3"/>
  <c r="BA318" i="3"/>
  <c r="AZ318" i="3"/>
  <c r="BL319" i="3"/>
  <c r="AZ319" i="3"/>
  <c r="G320" i="3"/>
  <c r="BA322" i="3"/>
  <c r="AZ322" i="3"/>
  <c r="BL323" i="3"/>
  <c r="AZ323" i="3"/>
  <c r="G324" i="3"/>
  <c r="BA326" i="3"/>
  <c r="BL327" i="3"/>
  <c r="AZ327" i="3"/>
  <c r="G328" i="3"/>
  <c r="BA330" i="3"/>
  <c r="AZ330" i="3"/>
  <c r="BL331" i="3"/>
  <c r="G332" i="3"/>
  <c r="BA334" i="3"/>
  <c r="AZ334" i="3"/>
  <c r="BL335" i="3"/>
  <c r="G336" i="3"/>
  <c r="BA338" i="3"/>
  <c r="AZ338" i="3"/>
  <c r="BL339" i="3"/>
  <c r="AZ339" i="3"/>
  <c r="G340" i="3"/>
  <c r="BL343" i="3"/>
  <c r="G344" i="3"/>
  <c r="G348" i="3"/>
  <c r="G355" i="3"/>
  <c r="AZ209" i="3"/>
  <c r="AZ218"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c r="F27" i="6"/>
  <c r="BR5" i="3"/>
  <c r="G28" i="6"/>
  <c r="AZ380" i="3"/>
  <c r="AZ384" i="3"/>
  <c r="AZ396" i="3"/>
  <c r="AZ394" i="3"/>
  <c r="AZ499" i="3"/>
  <c r="G509" i="3"/>
  <c r="BL493" i="3"/>
  <c r="AZ493" i="3"/>
  <c r="AZ376" i="3"/>
  <c r="AZ390" i="3"/>
  <c r="AZ382" i="3"/>
  <c r="U36" i="40"/>
  <c r="N4" i="43"/>
  <c r="F36" i="43"/>
  <c r="F81" i="43"/>
  <c r="H83" i="43"/>
  <c r="H113" i="43"/>
  <c r="F48" i="43"/>
  <c r="H52" i="43"/>
  <c r="N7" i="43"/>
  <c r="F70" i="43"/>
  <c r="H73" i="43"/>
  <c r="M6" i="43"/>
  <c r="M11" i="43"/>
  <c r="E17" i="43"/>
  <c r="F39" i="43"/>
  <c r="I17" i="43"/>
  <c r="F35" i="43"/>
  <c r="J17" i="43"/>
  <c r="F6" i="1"/>
  <c r="U17" i="39"/>
  <c r="S14" i="35"/>
  <c r="AC35" i="21"/>
  <c r="U10" i="21"/>
  <c r="G8" i="1"/>
  <c r="G9" i="1"/>
  <c r="G10" i="1"/>
  <c r="F48" i="9"/>
  <c r="O52" i="9"/>
  <c r="AC11" i="39"/>
  <c r="AZ501" i="3"/>
  <c r="W37" i="37"/>
  <c r="W44" i="34"/>
  <c r="AC44" i="34"/>
  <c r="S15" i="37"/>
  <c r="U13" i="37"/>
  <c r="U12" i="40"/>
  <c r="AA12" i="40"/>
  <c r="J37" i="33"/>
  <c r="W37" i="33"/>
  <c r="AC17" i="34"/>
  <c r="J34" i="33"/>
  <c r="W34" i="33"/>
  <c r="F33" i="34"/>
  <c r="S33" i="34"/>
  <c r="W12" i="36"/>
  <c r="AC12" i="36"/>
  <c r="H20" i="36"/>
  <c r="U20" i="36"/>
  <c r="J20" i="36"/>
  <c r="W20" i="36"/>
  <c r="J27" i="36"/>
  <c r="W27" i="36"/>
  <c r="H35" i="40"/>
  <c r="AB35" i="40"/>
  <c r="AC29" i="35"/>
  <c r="W29" i="35"/>
  <c r="H35" i="37"/>
  <c r="U35" i="37"/>
  <c r="AC14" i="35"/>
  <c r="H20" i="35"/>
  <c r="U20" i="35"/>
  <c r="F20" i="35"/>
  <c r="AA20"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c r="O9" i="1"/>
  <c r="P9" i="1"/>
  <c r="AE9" i="1"/>
  <c r="S42" i="21"/>
  <c r="U35" i="21"/>
  <c r="U34" i="21"/>
  <c r="S34" i="21"/>
  <c r="U43" i="21"/>
  <c r="U26" i="21"/>
  <c r="AA25" i="21"/>
  <c r="C27" i="39"/>
  <c r="BA23" i="3"/>
  <c r="BL23" i="3"/>
  <c r="AZ23" i="3"/>
  <c r="BL25" i="3"/>
  <c r="A15" i="62"/>
  <c r="B61" i="72"/>
  <c r="S12" i="21"/>
  <c r="AA12" i="21"/>
  <c r="U23" i="35"/>
  <c r="AB23" i="35"/>
  <c r="U27" i="37"/>
  <c r="AB27" i="37"/>
  <c r="AC31" i="40"/>
  <c r="W31" i="40"/>
  <c r="W33" i="40"/>
  <c r="AC33" i="40"/>
  <c r="AA38" i="40"/>
  <c r="S38" i="40"/>
  <c r="W40" i="40"/>
  <c r="AC40" i="40"/>
  <c r="AC24" i="36"/>
  <c r="W24" i="36"/>
  <c r="AB14" i="37"/>
  <c r="U14" i="37"/>
  <c r="AB26" i="37"/>
  <c r="U26" i="37"/>
  <c r="U25" i="37"/>
  <c r="AB25" i="37"/>
  <c r="AC32" i="40"/>
  <c r="W32" i="40"/>
  <c r="AZ507" i="3"/>
  <c r="AZ513" i="3"/>
  <c r="AZ521" i="3"/>
  <c r="AZ553" i="3"/>
  <c r="AZ583" i="3"/>
  <c r="AZ581" i="3"/>
  <c r="AZ518" i="3"/>
  <c r="AZ538" i="3"/>
  <c r="AZ552" i="3"/>
  <c r="BL586" i="3"/>
  <c r="BL585" i="3"/>
  <c r="AZ585" i="3"/>
  <c r="J25" i="37"/>
  <c r="H38" i="40"/>
  <c r="F40" i="40"/>
  <c r="G574" i="3"/>
  <c r="G558" i="3"/>
  <c r="C30" i="9"/>
  <c r="AZ402" i="3"/>
  <c r="AZ418" i="3"/>
  <c r="AZ434" i="3"/>
  <c r="AZ443" i="3"/>
  <c r="AZ446" i="3"/>
  <c r="AZ450" i="3"/>
  <c r="AZ459" i="3"/>
  <c r="AZ462" i="3"/>
  <c r="AZ326" i="3"/>
  <c r="AZ372" i="3"/>
  <c r="AZ347" i="3"/>
  <c r="AZ344" i="3"/>
  <c r="AZ337" i="3"/>
  <c r="AZ320" i="3"/>
  <c r="AZ313" i="3"/>
  <c r="AZ305" i="3"/>
  <c r="AZ362" i="3"/>
  <c r="AZ557" i="3"/>
  <c r="BA551" i="3"/>
  <c r="BL550" i="3"/>
  <c r="BA550" i="3"/>
  <c r="BL548" i="3"/>
  <c r="AZ548" i="3"/>
  <c r="BL15" i="3"/>
  <c r="AZ15" i="3"/>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BL445" i="3"/>
  <c r="AZ445" i="3"/>
  <c r="G448" i="3"/>
  <c r="G449" i="3"/>
  <c r="BL449" i="3"/>
  <c r="AZ449" i="3"/>
  <c r="BL451" i="3"/>
  <c r="AZ451" i="3"/>
  <c r="BA452" i="3"/>
  <c r="AZ452" i="3"/>
  <c r="BL454" i="3"/>
  <c r="AZ454" i="3"/>
  <c r="BA455" i="3"/>
  <c r="AZ455" i="3"/>
  <c r="BA456" i="3"/>
  <c r="AZ456" i="3"/>
  <c r="BL458" i="3"/>
  <c r="AZ458" i="3"/>
  <c r="G461" i="3"/>
  <c r="BL461" i="3"/>
  <c r="AZ461" i="3"/>
  <c r="G464" i="3"/>
  <c r="G465" i="3"/>
  <c r="BL465" i="3"/>
  <c r="BA466" i="3"/>
  <c r="AZ466" i="3"/>
  <c r="BA467" i="3"/>
  <c r="AZ467" i="3"/>
  <c r="BL469" i="3"/>
  <c r="AZ469" i="3"/>
  <c r="BA470" i="3"/>
  <c r="AZ470" i="3"/>
  <c r="BA471" i="3"/>
  <c r="AZ471" i="3"/>
  <c r="BA472" i="3"/>
  <c r="AZ472" i="3"/>
  <c r="G475" i="3"/>
  <c r="G476" i="3"/>
  <c r="BL476" i="3"/>
  <c r="G479" i="3"/>
  <c r="G480" i="3"/>
  <c r="BL480" i="3"/>
  <c r="G483" i="3"/>
  <c r="BA484" i="3"/>
  <c r="AZ484" i="3"/>
  <c r="BA485" i="3"/>
  <c r="AZ485" i="3"/>
  <c r="BL487" i="3"/>
  <c r="AZ487" i="3"/>
  <c r="BA488" i="3"/>
  <c r="AZ488" i="3"/>
  <c r="BA489" i="3"/>
  <c r="AZ489" i="3"/>
  <c r="BL491" i="3"/>
  <c r="AZ491" i="3"/>
  <c r="BA492" i="3"/>
  <c r="AZ492" i="3"/>
  <c r="G313" i="3"/>
  <c r="BA315" i="3"/>
  <c r="AZ315" i="3"/>
  <c r="BL316" i="3"/>
  <c r="G318" i="3"/>
  <c r="G329" i="3"/>
  <c r="BA331" i="3"/>
  <c r="AZ331" i="3"/>
  <c r="BL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G208" i="3"/>
  <c r="BL208" i="3"/>
  <c r="G211" i="3"/>
  <c r="BL211" i="3"/>
  <c r="BA212" i="3"/>
  <c r="AZ212" i="3"/>
  <c r="BL214" i="3"/>
  <c r="AZ214" i="3"/>
  <c r="G217" i="3"/>
  <c r="BL217" i="3"/>
  <c r="G220" i="3"/>
  <c r="BL220" i="3"/>
  <c r="BA221" i="3"/>
  <c r="AZ221" i="3"/>
  <c r="BA222" i="3"/>
  <c r="AZ222" i="3"/>
  <c r="BA223" i="3"/>
  <c r="AZ223" i="3"/>
  <c r="G226" i="3"/>
  <c r="BL226" i="3"/>
  <c r="G229" i="3"/>
  <c r="G230" i="3"/>
  <c r="BL230" i="3"/>
  <c r="BA231" i="3"/>
  <c r="AZ231" i="3"/>
  <c r="BA232" i="3"/>
  <c r="AZ232" i="3"/>
  <c r="BA233" i="3"/>
  <c r="AZ233" i="3"/>
  <c r="BL235" i="3"/>
  <c r="AZ235" i="3"/>
  <c r="BA236" i="3"/>
  <c r="AZ236" i="3"/>
  <c r="BA237" i="3"/>
  <c r="AZ237" i="3"/>
  <c r="G240" i="3"/>
  <c r="G241" i="3"/>
  <c r="G242" i="3"/>
  <c r="BL242" i="3"/>
  <c r="G245" i="3"/>
  <c r="G246" i="3"/>
  <c r="BL246" i="3"/>
  <c r="AZ246" i="3"/>
  <c r="BA247" i="3"/>
  <c r="AZ247" i="3"/>
  <c r="BA248" i="3"/>
  <c r="AZ248" i="3"/>
  <c r="BA249" i="3"/>
  <c r="AZ249" i="3"/>
  <c r="BL251" i="3"/>
  <c r="AZ251" i="3"/>
  <c r="BA252" i="3"/>
  <c r="AZ252" i="3"/>
  <c r="BA253" i="3"/>
  <c r="AZ253" i="3"/>
  <c r="AZ476" i="3"/>
  <c r="AZ477" i="3"/>
  <c r="AZ480" i="3"/>
  <c r="AZ481" i="3"/>
  <c r="AZ316" i="3"/>
  <c r="AZ332" i="3"/>
  <c r="AZ395" i="3"/>
  <c r="AZ208" i="3"/>
  <c r="AZ211" i="3"/>
  <c r="AZ217" i="3"/>
  <c r="AZ220" i="3"/>
  <c r="AZ226" i="3"/>
  <c r="AZ230" i="3"/>
  <c r="AZ242" i="3"/>
  <c r="AZ270" i="3"/>
  <c r="BA255" i="3"/>
  <c r="AZ255" i="3"/>
  <c r="BA256" i="3"/>
  <c r="AZ256" i="3"/>
  <c r="BA257" i="3"/>
  <c r="AZ257" i="3"/>
  <c r="BL259" i="3"/>
  <c r="AZ259" i="3"/>
  <c r="BA260" i="3"/>
  <c r="AZ260" i="3"/>
  <c r="BA261" i="3"/>
  <c r="AZ261" i="3"/>
  <c r="BL263" i="3"/>
  <c r="AZ263" i="3"/>
  <c r="BA264" i="3"/>
  <c r="AZ264" i="3"/>
  <c r="BA265" i="3"/>
  <c r="AZ265" i="3"/>
  <c r="G268" i="3"/>
  <c r="G269" i="3"/>
  <c r="G270" i="3"/>
  <c r="BL270" i="3"/>
  <c r="G273" i="3"/>
  <c r="G274" i="3"/>
  <c r="BL274" i="3"/>
  <c r="AZ274" i="3"/>
  <c r="G277" i="3"/>
  <c r="BL277" i="3"/>
  <c r="AZ277" i="3"/>
  <c r="BA278" i="3"/>
  <c r="AZ278" i="3"/>
  <c r="BA279" i="3"/>
  <c r="AZ279" i="3"/>
  <c r="BA280" i="3"/>
  <c r="AZ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AZ46" i="3"/>
  <c r="G200" i="3"/>
  <c r="BL202" i="3"/>
  <c r="AZ202" i="3"/>
  <c r="BA204" i="3"/>
  <c r="AZ204" i="3"/>
  <c r="BA205" i="3"/>
  <c r="AZ205" i="3"/>
  <c r="BA206" i="3"/>
  <c r="AZ206" i="3"/>
  <c r="G19" i="3"/>
  <c r="BL19" i="3"/>
  <c r="BL21" i="3"/>
  <c r="AZ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C40" i="21"/>
  <c r="J15" i="21"/>
  <c r="W15" i="21"/>
  <c r="F77" i="21"/>
  <c r="G77" i="21"/>
  <c r="F23" i="21"/>
  <c r="S23" i="21"/>
  <c r="E85" i="21"/>
  <c r="AC11" i="21"/>
  <c r="AA14" i="21"/>
  <c r="AB8" i="21"/>
  <c r="S8" i="21"/>
  <c r="M3" i="43"/>
  <c r="N10" i="43"/>
  <c r="M1" i="43"/>
  <c r="M8" i="43"/>
  <c r="N8" i="43"/>
  <c r="N9" i="43"/>
  <c r="D120"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B8" i="49"/>
  <c r="E4" i="49"/>
  <c r="E11" i="49"/>
  <c r="M28" i="67"/>
  <c r="F26" i="15"/>
  <c r="M8" i="15"/>
  <c r="C76" i="15"/>
  <c r="F7" i="15"/>
  <c r="M22" i="67"/>
  <c r="L47" i="67"/>
  <c r="L48" i="67"/>
  <c r="F13" i="15"/>
  <c r="M23" i="67"/>
  <c r="F9" i="15"/>
  <c r="F42" i="15"/>
  <c r="F40" i="15"/>
  <c r="J15" i="15"/>
  <c r="M6" i="15"/>
  <c r="F6" i="15"/>
  <c r="L47" i="15"/>
  <c r="M24" i="15"/>
  <c r="F36" i="15"/>
  <c r="M29" i="15"/>
  <c r="M22" i="15"/>
  <c r="M28" i="15"/>
  <c r="F8" i="15"/>
  <c r="M9" i="15"/>
  <c r="F16" i="15"/>
  <c r="M24" i="67"/>
  <c r="M26" i="67"/>
  <c r="L48" i="15"/>
  <c r="F43" i="15"/>
  <c r="J15" i="67"/>
  <c r="M26" i="15"/>
  <c r="M29" i="67"/>
  <c r="M23" i="15"/>
  <c r="F37" i="15"/>
  <c r="C76" i="67"/>
  <c r="F38" i="15"/>
  <c r="W17" i="21"/>
  <c r="AC15" i="21"/>
  <c r="C4" i="4"/>
  <c r="K4" i="4"/>
  <c r="B46" i="48"/>
  <c r="B4" i="72"/>
  <c r="AB38" i="40"/>
  <c r="U38" i="40"/>
  <c r="AA40" i="40"/>
  <c r="S40" i="40"/>
  <c r="AC25" i="37"/>
  <c r="W25" i="37"/>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C10" i="15"/>
  <c r="M19" i="6"/>
  <c r="L27" i="6"/>
  <c r="S26" i="6"/>
  <c r="M20" i="6"/>
  <c r="I20" i="6"/>
  <c r="G16" i="1"/>
  <c r="H10" i="40"/>
  <c r="U10" i="40"/>
  <c r="L56" i="67"/>
  <c r="J57" i="67"/>
  <c r="J55" i="67"/>
  <c r="J58"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7" i="15"/>
  <c r="C16" i="15"/>
  <c r="F31" i="67"/>
  <c r="F59" i="15"/>
  <c r="F59" i="67"/>
  <c r="B4" i="62"/>
  <c r="B71" i="72"/>
  <c r="T7" i="1"/>
  <c r="AR7" i="1"/>
  <c r="L59" i="15"/>
  <c r="Q74" i="15"/>
  <c r="C30" i="11"/>
  <c r="E6" i="70"/>
  <c r="K27" i="6"/>
  <c r="A18" i="62"/>
  <c r="B64" i="72"/>
  <c r="B14" i="74"/>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C53"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15"/>
  <c r="H20" i="6"/>
  <c r="C14" i="74"/>
  <c r="B2" i="74"/>
  <c r="AB7" i="36"/>
  <c r="T36" i="36"/>
  <c r="C23" i="68"/>
  <c r="C38" i="15"/>
  <c r="E38" i="43"/>
  <c r="E6" i="3"/>
  <c r="C47" i="68"/>
  <c r="D45" i="68"/>
  <c r="AA10" i="39"/>
  <c r="D10" i="68"/>
  <c r="D10" i="11"/>
  <c r="C10" i="11"/>
  <c r="D20" i="12"/>
  <c r="C20" i="12"/>
  <c r="C18" i="12"/>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E6" i="76"/>
  <c r="D31" i="6"/>
  <c r="I6" i="6"/>
  <c r="E2" i="76"/>
  <c r="B2" i="43"/>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B6" i="76"/>
  <c r="M21" i="67"/>
  <c r="F35" i="15"/>
  <c r="I5" i="6"/>
  <c r="B2" i="76"/>
  <c r="B3" i="76"/>
  <c r="B3" i="43"/>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J60"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B2" i="67"/>
  <c r="E2" i="69"/>
  <c r="AO6" i="1"/>
  <c r="AO8" i="1"/>
  <c r="AO7" i="1"/>
  <c r="B8" i="70"/>
  <c r="B7" i="70"/>
  <c r="B6" i="70"/>
  <c r="C46" i="15"/>
  <c r="B2" i="69"/>
  <c r="B3" i="69"/>
  <c r="B2" i="68"/>
  <c r="D2" i="36"/>
  <c r="D2" i="35"/>
  <c r="D2" i="21"/>
  <c r="F20" i="31"/>
  <c r="D2" i="34"/>
  <c r="E2" i="68"/>
  <c r="D2" i="33"/>
  <c r="B2" i="21"/>
  <c r="C19" i="9"/>
  <c r="D2" i="37"/>
  <c r="B20" i="31"/>
  <c r="B2" i="36"/>
  <c r="B3" i="36"/>
  <c r="B2" i="35"/>
  <c r="B3" i="35"/>
  <c r="B2" i="37"/>
  <c r="B3" i="37"/>
  <c r="B2" i="34"/>
  <c r="B3" i="34"/>
  <c r="B2" i="70"/>
  <c r="B3" i="70"/>
  <c r="C102" i="9"/>
  <c r="C21" i="9"/>
  <c r="B3" i="68"/>
  <c r="D19" i="9"/>
  <c r="G19" i="9"/>
  <c r="D102" i="9"/>
  <c r="D22" i="9"/>
  <c r="D21" i="9"/>
  <c r="C103" i="9"/>
  <c r="D103" i="9"/>
  <c r="C32" i="9"/>
  <c r="G21"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M49" i="9"/>
  <c r="L68" i="9"/>
  <c r="M68" i="9"/>
  <c r="L66" i="9"/>
  <c r="M66" i="9"/>
  <c r="L65" i="9"/>
  <c r="M65" i="9"/>
  <c r="L64" i="9"/>
  <c r="M64" i="9"/>
  <c r="L67" i="9"/>
  <c r="M67" i="9"/>
  <c r="L63" i="9"/>
  <c r="M63" i="9"/>
  <c r="M69" i="9"/>
  <c r="N69"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<sst xmlns="http://schemas.openxmlformats.org/spreadsheetml/2006/main" count="7864" uniqueCount="3172">
  <si>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</si>
  <si>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</si>
  <si>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</si>
  <si>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</si>
  <si>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</si>
  <si>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</si>
  <si>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</si>
  <si>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</si>
  <si>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</si>
  <si>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</si>
  <si>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</si>
  <si>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</si>
  <si>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</si>
  <si>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</si>
  <si>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</si>
  <si>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</si>
  <si>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</si>
  <si>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</si>
  <si>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</si>
  <si>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</si>
  <si>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</si>
  <si>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</si>
  <si>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</si>
  <si>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</si>
  <si>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</si>
  <si>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</si>
  <si>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</si>
  <si>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</si>
  <si>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</si>
  <si>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</si>
  <si>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</si>
  <si>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</si>
  <si>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</si>
  <si>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</si>
  <si>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</si>
  <si>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</si>
  <si>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</si>
  <si>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</si>
  <si>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</si>
  <si>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</si>
  <si>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</si>
  <si>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</si>
  <si>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</si>
  <si>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</si>
  <si>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</si>
  <si>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</si>
  <si>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</si>
  <si>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</si>
  <si>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</si>
  <si>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</si>
  <si>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</si>
  <si>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</si>
  <si>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</si>
  <si>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</si>
  <si>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</si>
  <si>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</si>
  <si>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</si>
  <si>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</si>
  <si>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</si>
  <si>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</si>
  <si>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</si>
  <si>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</si>
  <si>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</si>
  <si>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</si>
  <si>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</si>
  <si>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</si>
  <si>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</si>
  <si>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</si>
  <si>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</si>
  <si>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</si>
  <si>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</si>
  <si>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</si>
  <si>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</si>
  <si>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</si>
  <si>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</si>
  <si>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</si>
  <si>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</si>
  <si>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</si>
  <si>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</si>
  <si>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</si>
  <si>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</si>
  <si>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</si>
  <si>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</si>
  <si>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</si>
  <si>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</si>
  <si>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</si>
  <si>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</si>
  <si>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</si>
  <si>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</si>
  <si>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</si>
  <si>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</si>
  <si>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</si>
  <si>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</si>
  <si>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</si>
  <si>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</si>
  <si>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</si>
  <si>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</si>
  <si>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</si>
  <si>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</si>
  <si>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</si>
  <si>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</si>
  <si>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</si>
  <si>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</si>
  <si>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</si>
  <si>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</si>
  <si>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</si>
  <si>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</si>
  <si>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</si>
  <si>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</si>
  <si>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</si>
  <si>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</si>
  <si>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</si>
  <si>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</si>
  <si>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</si>
  <si>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</si>
  <si>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</si>
  <si>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</si>
  <si>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</si>
  <si>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</si>
  <si>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</si>
  <si>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</si>
  <si>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</si>
  <si>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</si>
  <si>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</si>
  <si>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</si>
  <si>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</si>
  <si>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</si>
  <si>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</si>
  <si>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</si>
  <si>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</si>
  <si>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</si>
  <si>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</si>
  <si>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</si>
  <si>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</si>
  <si>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</si>
  <si>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</si>
  <si>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</si>
  <si>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</si>
  <si>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</si>
  <si>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</si>
  <si>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</si>
  <si>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</si>
  <si>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</si>
  <si>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</si>
  <si>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</si>
  <si>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</si>
  <si>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</si>
  <si>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</si>
  <si>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</si>
  <si>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</si>
  <si>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</si>
  <si>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</si>
  <si>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</si>
  <si>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</si>
  <si>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</si>
  <si>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</si>
  <si>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</si>
  <si>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</si>
  <si>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</si>
  <si>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</si>
  <si>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</si>
  <si>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</si>
  <si>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</si>
  <si>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</si>
  <si>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</si>
  <si>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</si>
  <si>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</si>
  <si>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</si>
  <si>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</si>
  <si>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</si>
  <si>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</si>
  <si>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</si>
  <si>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</si>
  <si>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</si>
  <si>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</si>
  <si>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</si>
  <si>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</si>
  <si>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</si>
  <si>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</si>
  <si>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</si>
  <si>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</si>
  <si>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</si>
  <si>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</si>
  <si>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</si>
  <si>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</si>
  <si>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</si>
  <si>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</si>
  <si>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</si>
  <si>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</si>
  <si>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</si>
  <si>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</si>
  <si>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</si>
  <si>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</si>
  <si>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</si>
  <si>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</si>
  <si>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</si>
  <si>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</si>
  <si>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</si>
  <si>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</si>
  <si>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</si>
  <si>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</si>
  <si>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</si>
  <si>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</si>
  <si>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</si>
  <si>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</si>
  <si>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</si>
  <si>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</si>
  <si>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</si>
  <si>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</si>
  <si>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</si>
  <si>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</si>
  <si>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</si>
  <si>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</si>
  <si>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</si>
  <si>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</si>
  <si>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</si>
  <si>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</si>
  <si>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</si>
  <si>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</si>
  <si>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</si>
  <si>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</si>
  <si>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</si>
  <si>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</si>
  <si>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</si>
  <si>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</si>
  <si>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</si>
  <si>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</si>
  <si>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</si>
  <si>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</si>
  <si>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</si>
  <si>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</si>
  <si>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</si>
  <si>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</si>
  <si>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</si>
  <si>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</si>
  <si>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</si>
  <si>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</si>
  <si>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</si>
  <si>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</si>
  <si>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</si>
  <si>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</si>
  <si>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</si>
  <si>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</si>
  <si>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</si>
  <si>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</si>
  <si>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</si>
  <si>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</si>
  <si>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</si>
  <si>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</si>
  <si>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</si>
  <si>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</si>
  <si>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</si>
  <si>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</si>
  <si>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</si>
  <si>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</si>
  <si>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</si>
  <si>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</si>
  <si>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</si>
  <si>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</si>
  <si>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</si>
  <si>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</si>
  <si>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</si>
  <si>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</si>
  <si>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</si>
  <si>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</si>
  <si>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</si>
  <si>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</si>
  <si>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</si>
  <si>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</si>
  <si>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</si>
  <si>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</si>
  <si>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</si>
  <si>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</si>
  <si>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</si>
  <si>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</si>
  <si>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</si>
  <si>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</si>
  <si>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</si>
  <si>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</si>
  <si>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</si>
  <si>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</si>
  <si>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</si>
  <si>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</si>
  <si>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</si>
  <si>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</si>
  <si>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</si>
  <si>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</si>
  <si>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</si>
  <si>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</si>
  <si>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</si>
  <si>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</si>
  <si>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</si>
  <si>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</si>
  <si>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</si>
  <si>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</si>
  <si>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</si>
  <si>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</si>
  <si>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</si>
  <si>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</si>
  <si>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</si>
  <si>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</si>
  <si>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</si>
  <si>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</si>
  <si>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</si>
  <si>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</si>
  <si>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</si>
  <si>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</si>
  <si>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</si>
  <si>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</si>
  <si>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</si>
  <si>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</si>
  <si>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</si>
  <si>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</si>
  <si>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</si>
  <si>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</si>
  <si>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</si>
  <si>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</si>
  <si>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</si>
  <si>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</si>
  <si>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</si>
  <si>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</si>
  <si>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</si>
  <si>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</si>
  <si>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</si>
  <si>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</si>
  <si>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</si>
  <si>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</si>
  <si>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</si>
  <si>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</si>
  <si>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</si>
  <si>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</si>
  <si>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</si>
  <si>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</si>
  <si>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</si>
  <si>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</si>
  <si>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</si>
  <si>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</si>
  <si>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</si>
  <si>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</si>
  <si>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</si>
  <si>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</si>
  <si>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</si>
  <si>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</si>
  <si>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</si>
  <si>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</si>
  <si>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</si>
  <si>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</si>
  <si>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</si>
  <si>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</si>
  <si>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</si>
  <si>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</si>
  <si>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</si>
  <si>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</si>
  <si>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</si>
  <si>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</si>
  <si>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</si>
  <si>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</si>
  <si>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</si>
  <si>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</si>
  <si>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</si>
  <si>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</si>
  <si>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</si>
  <si>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</si>
  <si>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</si>
  <si>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</si>
  <si>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</si>
  <si>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</si>
  <si>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</si>
  <si>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</si>
  <si>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</si>
  <si>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</si>
  <si>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</si>
  <si>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</si>
  <si>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</si>
  <si>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</si>
  <si>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</si>
  <si>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</si>
  <si>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</si>
  <si>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</si>
  <si>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</si>
  <si>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</si>
  <si>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</si>
  <si>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</si>
  <si>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</si>
  <si>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</si>
  <si>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</si>
  <si>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</si>
  <si>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</si>
  <si>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</si>
  <si>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</si>
  <si>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</si>
  <si>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</si>
  <si>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</si>
  <si>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</si>
  <si>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</si>
  <si>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</si>
  <si>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</si>
  <si>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</si>
  <si>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</si>
  <si>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</si>
  <si>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</si>
  <si>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</si>
  <si>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</si>
  <si>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</si>
  <si>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</si>
  <si>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</si>
  <si>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</si>
  <si>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</si>
  <si>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</si>
  <si>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</si>
  <si>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</si>
  <si>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</si>
  <si>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</si>
  <si>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</si>
  <si>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</si>
  <si>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</si>
  <si>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</si>
  <si>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</si>
  <si>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</si>
  <si>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</si>
  <si>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</si>
  <si>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</si>
  <si>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</si>
  <si>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</si>
  <si>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</si>
  <si>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</si>
  <si>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</si>
  <si>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</si>
  <si>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</si>
  <si>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</si>
  <si>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</si>
  <si>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</si>
  <si>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</si>
  <si>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</si>
  <si>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</si>
  <si>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</si>
  <si>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</si>
  <si>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</si>
  <si>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</si>
  <si>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</si>
  <si>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</si>
  <si>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</si>
  <si>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</si>
  <si>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</si>
  <si>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</si>
  <si>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</si>
  <si>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</si>
  <si>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</si>
  <si>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</si>
  <si>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</si>
  <si>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</si>
  <si>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</si>
  <si>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</si>
  <si>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</si>
  <si>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</si>
  <si>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</si>
  <si>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</si>
  <si>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</si>
  <si>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</si>
  <si>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</si>
  <si>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</si>
  <si>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</si>
  <si>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</si>
  <si>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</si>
  <si>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</si>
  <si>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</si>
  <si>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</si>
  <si>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</si>
  <si>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</si>
  <si>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</si>
  <si>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</si>
  <si>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</si>
  <si>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</si>
  <si>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</si>
  <si>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</si>
  <si>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</si>
  <si>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</si>
  <si>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</si>
  <si>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</si>
  <si>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</si>
  <si>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</si>
  <si>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</si>
  <si>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</si>
  <si>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</si>
  <si>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</si>
  <si>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</si>
  <si>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</si>
  <si>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</si>
  <si>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</si>
  <si>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</si>
  <si>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</si>
  <si>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</si>
  <si>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</si>
  <si>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</si>
  <si>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</si>
  <si>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</si>
  <si>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</si>
  <si>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</si>
  <si>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</si>
  <si>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</si>
  <si>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</si>
  <si>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</si>
  <si>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</si>
  <si>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</si>
  <si>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</si>
  <si>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</si>
  <si>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</si>
  <si>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</si>
  <si>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</si>
  <si>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</si>
  <si>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</si>
  <si>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</si>
  <si>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</si>
  <si>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</si>
  <si>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</si>
  <si>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</si>
  <si>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</si>
  <si>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</si>
  <si>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</si>
  <si>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</si>
  <si>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</si>
  <si>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</si>
  <si>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</si>
  <si>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</si>
  <si>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</si>
  <si>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</si>
  <si>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</si>
  <si>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</si>
  <si>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</si>
  <si>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</si>
  <si>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</si>
  <si>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</si>
  <si>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</si>
  <si>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</si>
  <si>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</si>
  <si>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</si>
  <si>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</si>
  <si>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</si>
  <si>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</si>
  <si>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</si>
  <si>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</si>
  <si>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</si>
  <si>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</si>
  <si>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</si>
  <si>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</si>
  <si>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</si>
  <si>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</si>
  <si>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</si>
  <si>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</si>
  <si>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</si>
  <si>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</si>
  <si>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</si>
  <si>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</si>
  <si>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</si>
  <si>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</si>
  <si>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</si>
  <si>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</si>
  <si>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</si>
  <si>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</si>
  <si>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</si>
  <si>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</si>
  <si>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</si>
  <si>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</si>
  <si>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</si>
  <si>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</si>
  <si>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</si>
  <si>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</si>
  <si>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</si>
  <si>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</si>
  <si>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</si>
  <si>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</si>
  <si>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</si>
  <si>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</si>
  <si>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</si>
  <si>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</si>
  <si>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</si>
  <si>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</si>
  <si>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</si>
  <si>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</si>
  <si>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</si>
  <si>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</si>
  <si>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</si>
  <si>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</si>
  <si>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</si>
  <si>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</si>
  <si>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</si>
  <si>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</si>
  <si>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</si>
  <si>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</si>
  <si>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</si>
  <si>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</si>
  <si>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</si>
  <si>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</si>
  <si>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</si>
  <si>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</si>
  <si>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</si>
  <si>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</si>
  <si>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</si>
  <si>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</si>
  <si>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</si>
  <si>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</si>
  <si>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</si>
  <si>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</si>
  <si>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</si>
  <si>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</si>
  <si>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</si>
  <si>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</si>
  <si>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</si>
  <si>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</si>
  <si>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</si>
  <si>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</si>
  <si>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</si>
  <si>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</si>
  <si>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</si>
  <si>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</si>
  <si>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</si>
  <si>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</si>
  <si>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</si>
  <si>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</si>
  <si>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</si>
  <si>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</si>
  <si>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</si>
  <si>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</si>
  <si>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</si>
  <si>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</si>
  <si>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</si>
  <si>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</si>
  <si>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</si>
  <si>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</si>
  <si>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</si>
  <si>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</si>
  <si>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</si>
  <si>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</si>
  <si>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</si>
  <si>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</si>
  <si>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</si>
  <si>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</si>
  <si>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</si>
  <si>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</si>
  <si>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</si>
  <si>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</si>
  <si>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</si>
  <si>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</si>
  <si>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</si>
  <si>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</si>
  <si>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</si>
  <si>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</si>
  <si>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</si>
  <si>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</si>
  <si>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</si>
  <si>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</si>
  <si>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</si>
  <si>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</si>
  <si>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</si>
  <si>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</si>
  <si>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</si>
  <si>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</si>
  <si>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</si>
  <si>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</si>
  <si>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</si>
  <si>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</si>
  <si>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</si>
  <si>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</si>
  <si>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</si>
  <si>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</si>
  <si>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</si>
  <si>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</si>
  <si>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</si>
  <si>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</si>
  <si>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</si>
  <si>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</si>
  <si>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</si>
  <si>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</si>
  <si>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</si>
  <si>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</si>
  <si>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</si>
  <si>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</si>
  <si>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</si>
  <si>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</si>
  <si>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</si>
  <si>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</si>
  <si>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</si>
  <si>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</si>
  <si>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</si>
  <si>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</si>
  <si>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</si>
  <si>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</si>
  <si>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</si>
  <si>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</si>
  <si>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</si>
  <si>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</si>
  <si>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</si>
  <si>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</si>
  <si>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</si>
  <si>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</si>
  <si>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</si>
  <si>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</si>
  <si>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</si>
  <si>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</si>
  <si>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</si>
  <si>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</si>
  <si>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</si>
  <si>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</si>
  <si>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</si>
  <si>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</si>
  <si>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</si>
  <si>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</si>
  <si>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</si>
  <si>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</si>
  <si>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</si>
  <si>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</si>
  <si>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</si>
  <si>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</si>
  <si>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</si>
  <si>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</si>
  <si>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</si>
  <si>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</si>
  <si>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</si>
  <si>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</si>
  <si>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</si>
  <si>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</si>
  <si>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</si>
  <si>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</si>
  <si>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</si>
  <si>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</si>
  <si>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</si>
  <si>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</si>
  <si>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</si>
  <si>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</si>
  <si>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</si>
  <si>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</si>
  <si>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</si>
  <si>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</si>
  <si>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</si>
  <si>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</si>
  <si>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</si>
  <si>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</si>
  <si>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</si>
  <si>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</si>
  <si>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</si>
  <si>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</si>
  <si>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</si>
  <si>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</si>
  <si>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</si>
  <si>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</si>
  <si>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</si>
  <si>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</si>
  <si>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</si>
  <si>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</si>
  <si>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</si>
  <si>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</si>
  <si>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</si>
  <si>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</si>
  <si>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</si>
  <si>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</si>
  <si>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</si>
  <si>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</si>
  <si>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</si>
  <si>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</si>
  <si>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</si>
  <si>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</si>
  <si>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</si>
  <si>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</si>
  <si>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</si>
  <si>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</si>
  <si>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</si>
  <si>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</si>
  <si>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</si>
  <si>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</si>
  <si>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</si>
  <si>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</si>
  <si>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</si>
  <si>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</si>
  <si>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</si>
  <si>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</si>
  <si>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</si>
  <si>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</si>
  <si>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</si>
  <si>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</si>
  <si>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</si>
  <si>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</si>
  <si>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</si>
  <si>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</si>
  <si>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</si>
  <si>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</si>
  <si>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</si>
  <si>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</si>
  <si>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</si>
  <si>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</si>
  <si>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</si>
  <si>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</si>
  <si>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</si>
  <si>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</si>
  <si>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</si>
  <si>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</si>
  <si>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</si>
  <si>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</si>
  <si>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</si>
  <si>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</si>
  <si>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</si>
  <si>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</si>
  <si>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</si>
  <si>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</si>
  <si>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</si>
  <si>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</si>
  <si>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</si>
  <si>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</si>
  <si>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</si>
  <si>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</si>
  <si>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</si>
  <si>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</si>
  <si>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</si>
  <si>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</si>
  <si>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</si>
  <si>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</si>
  <si>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</si>
  <si>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</si>
  <si>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</si>
  <si>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</si>
  <si>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</si>
  <si>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</si>
  <si>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</si>
  <si>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</si>
  <si>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</si>
  <si>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</si>
  <si>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</si>
  <si>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</si>
  <si>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</si>
  <si>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</si>
  <si>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</si>
  <si>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</si>
  <si>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</si>
  <si>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</si>
  <si>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</si>
  <si>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</si>
  <si>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</si>
  <si>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</si>
  <si>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</si>
  <si>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</si>
  <si>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</si>
  <si>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</si>
  <si>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</si>
  <si>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</si>
  <si>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</si>
  <si>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</si>
  <si>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</si>
  <si>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</si>
  <si>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</si>
  <si>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</si>
  <si>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</si>
  <si>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</si>
  <si>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</si>
  <si>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</si>
  <si>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</si>
  <si>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</si>
  <si>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</si>
  <si>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</si>
  <si>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</si>
  <si>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</si>
  <si>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</si>
  <si>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</si>
  <si>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</si>
  <si>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</si>
  <si>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</si>
  <si>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</si>
  <si>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</si>
  <si>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</si>
  <si>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</si>
  <si>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</si>
  <si>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</si>
  <si>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</si>
  <si>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</si>
  <si>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</si>
  <si>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</si>
  <si>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</si>
  <si>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</si>
  <si>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</si>
  <si>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</si>
  <si>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</si>
  <si>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</si>
  <si>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</si>
  <si>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</si>
  <si>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</si>
  <si>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</si>
  <si>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</si>
  <si>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</si>
  <si>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</si>
  <si>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</si>
  <si>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</si>
  <si>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</si>
  <si>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</si>
  <si>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</si>
  <si>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</si>
  <si>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</si>
  <si>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</si>
  <si>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</si>
  <si>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</si>
  <si>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</si>
  <si>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</si>
  <si>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</si>
  <si>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</si>
  <si>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</si>
  <si>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</si>
  <si>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</si>
  <si>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</si>
  <si>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</si>
  <si>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</si>
  <si>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</si>
  <si>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</si>
  <si>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</si>
  <si>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</si>
  <si>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</si>
  <si>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</si>
  <si>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</si>
  <si>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</si>
  <si>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</si>
  <si>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</si>
  <si>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</si>
  <si>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</si>
  <si>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</si>
  <si>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</si>
  <si>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</si>
  <si>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</si>
  <si>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</si>
  <si>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</si>
  <si>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</si>
  <si>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</si>
  <si>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</si>
  <si>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</si>
  <si>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</si>
  <si>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</si>
  <si>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</si>
  <si>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</si>
  <si>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</si>
  <si>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</si>
  <si>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</si>
  <si>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</si>
  <si>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</si>
  <si>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</si>
  <si>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</si>
  <si>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</si>
  <si>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</si>
  <si>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</si>
  <si>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</si>
  <si>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</si>
  <si>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</si>
  <si>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</si>
  <si>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</si>
  <si>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</si>
  <si>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</si>
  <si>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</si>
  <si>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</si>
  <si>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</si>
  <si>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</si>
  <si>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</si>
  <si>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</si>
  <si>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</si>
  <si>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</si>
  <si>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</si>
  <si>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</si>
  <si>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</si>
  <si>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</si>
  <si>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</si>
  <si>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</si>
  <si>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</si>
  <si>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</si>
  <si>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</si>
  <si>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</si>
  <si>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</si>
  <si>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</si>
  <si>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</si>
  <si>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</si>
  <si>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</si>
  <si>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</si>
  <si>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</si>
  <si>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</si>
  <si>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</si>
  <si>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</si>
  <si>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</si>
  <si>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</si>
  <si>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</si>
  <si>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</si>
  <si>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</si>
  <si>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</si>
  <si>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</si>
  <si>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</si>
  <si>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</si>
  <si>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</si>
  <si>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</si>
  <si>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</si>
  <si>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</si>
  <si>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</si>
  <si>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</si>
  <si>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</si>
  <si>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</si>
  <si>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</si>
  <si>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</si>
  <si>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</si>
  <si>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</si>
  <si>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</si>
  <si>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</si>
  <si>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</si>
  <si>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</si>
  <si>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</si>
  <si>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</si>
  <si>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</si>
  <si>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</si>
  <si>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</si>
  <si>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</si>
  <si>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</si>
  <si>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</si>
  <si>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</si>
  <si>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</si>
  <si>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</si>
  <si>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</si>
  <si>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</si>
  <si>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</si>
  <si>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</si>
  <si>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</si>
  <si>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</si>
  <si>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</si>
  <si>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</si>
  <si>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</si>
  <si>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</si>
  <si>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</si>
  <si>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</si>
  <si>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</si>
  <si>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</si>
  <si>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</si>
  <si>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</si>
  <si>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</si>
  <si>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</si>
  <si>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</si>
  <si>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</si>
  <si>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</si>
  <si>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</si>
  <si>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</si>
  <si>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</si>
  <si>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</si>
  <si>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</si>
  <si>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</si>
  <si>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</si>
  <si>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</si>
  <si>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</si>
  <si>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</si>
  <si>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</si>
  <si>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</si>
  <si>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</si>
  <si>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</si>
  <si>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</si>
  <si>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</si>
  <si>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</si>
  <si>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</si>
  <si>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</si>
  <si>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</si>
  <si>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</si>
  <si>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</si>
  <si>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</si>
  <si>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</si>
  <si>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</si>
  <si>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</si>
  <si>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</si>
  <si>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</si>
  <si>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</si>
  <si>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</si>
  <si>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</si>
  <si>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</si>
  <si>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</si>
  <si>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</si>
  <si>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</si>
  <si>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</si>
  <si>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</si>
  <si>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</si>
  <si>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</si>
  <si>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</si>
  <si>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</si>
  <si>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</si>
  <si>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</si>
  <si>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</si>
  <si>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</si>
  <si>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</si>
  <si>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</si>
  <si>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</si>
  <si>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</si>
  <si>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</si>
  <si>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</si>
  <si>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</si>
  <si>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</si>
  <si>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</si>
  <si>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</si>
  <si>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</si>
  <si>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</si>
  <si>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</si>
  <si>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</si>
  <si>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</si>
  <si>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</si>
  <si>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</si>
  <si>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</si>
  <si>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</si>
  <si>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</si>
  <si>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</si>
  <si>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</si>
  <si>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</si>
  <si>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</si>
  <si>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</si>
  <si>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</si>
  <si>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</si>
  <si>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</si>
  <si>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</si>
  <si>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</si>
  <si>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</si>
  <si>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</si>
  <si>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</si>
  <si>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</si>
  <si>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</si>
  <si>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</si>
  <si>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</si>
  <si>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</si>
  <si>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</si>
  <si>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</si>
  <si>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</si>
  <si>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</si>
  <si>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</si>
  <si>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</si>
  <si>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</si>
  <si>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</si>
  <si>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</si>
  <si>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</si>
  <si>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</si>
  <si>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</si>
  <si>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</si>
  <si>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</si>
  <si>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</si>
  <si>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</si>
  <si>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</si>
  <si>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</si>
  <si>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</si>
  <si>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</si>
  <si>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</si>
  <si>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</si>
  <si>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</si>
  <si>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</si>
  <si>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</si>
  <si>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</si>
  <si>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</si>
  <si>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</si>
  <si>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</si>
  <si>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</si>
  <si>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</si>
  <si>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</si>
  <si>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</si>
  <si>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</si>
  <si>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</si>
  <si>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</si>
  <si>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</si>
  <si>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</si>
  <si>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</si>
  <si>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</si>
  <si>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</si>
  <si>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</si>
  <si>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</si>
  <si>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</si>
  <si>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</si>
  <si>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</si>
  <si>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</si>
  <si>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</si>
  <si>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</si>
  <si>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</si>
  <si>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</si>
  <si>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</si>
  <si>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</si>
  <si>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</si>
  <si>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</si>
  <si>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</si>
  <si>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</si>
  <si>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</si>
  <si>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</si>
  <si>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</si>
  <si>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</si>
  <si>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</si>
  <si>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</si>
  <si>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</si>
  <si>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</si>
  <si>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</si>
  <si>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</si>
  <si>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</si>
  <si>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</si>
  <si>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</si>
  <si>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</si>
  <si>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</si>
  <si>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</si>
  <si>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</si>
  <si>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</si>
  <si>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</si>
  <si>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</si>
  <si>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</si>
  <si>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</si>
  <si>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</si>
  <si>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</si>
  <si>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</si>
  <si>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</si>
  <si>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</si>
  <si>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</si>
  <si>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</si>
  <si>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</si>
  <si>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</si>
  <si>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</si>
  <si>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</si>
  <si>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</si>
  <si>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</si>
  <si>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</si>
  <si>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</si>
  <si>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</si>
  <si>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</si>
  <si>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</si>
  <si>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</si>
  <si>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</si>
  <si>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</si>
  <si>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</si>
  <si>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</si>
  <si>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</si>
  <si>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</si>
  <si>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</si>
  <si>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</si>
  <si>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</si>
  <si>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</si>
  <si>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</si>
  <si>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</si>
  <si>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</si>
  <si>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</si>
  <si>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</si>
  <si>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</si>
  <si>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</si>
  <si>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</si>
  <si>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</si>
  <si>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</si>
  <si>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</si>
  <si>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</si>
  <si>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</si>
  <si>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</si>
  <si>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</si>
  <si>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</si>
  <si>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</si>
  <si>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</si>
  <si>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</si>
  <si>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</si>
  <si>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</si>
  <si>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</si>
  <si>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</si>
  <si>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</si>
  <si>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</si>
  <si>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</si>
  <si>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</si>
  <si>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</si>
  <si>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</si>
  <si>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</si>
  <si>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</si>
  <si>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</si>
  <si>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</si>
  <si>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</si>
  <si>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</si>
  <si>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</si>
  <si>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</si>
  <si>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</si>
  <si>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</si>
  <si>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</si>
  <si>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</si>
  <si>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</si>
  <si>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</si>
  <si>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</si>
  <si>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</si>
  <si>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</si>
  <si>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</si>
  <si>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</si>
  <si>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</si>
  <si>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</si>
  <si>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</si>
  <si>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</si>
  <si>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</si>
  <si>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</si>
  <si>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</si>
  <si>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</si>
  <si>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</si>
  <si>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</si>
  <si>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</si>
  <si>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</si>
  <si>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</si>
  <si>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</si>
  <si>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</si>
  <si>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</si>
  <si>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</si>
  <si>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</si>
  <si>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</si>
  <si>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</si>
  <si>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</si>
  <si>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</si>
  <si>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</si>
  <si>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</si>
  <si>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</si>
  <si>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</si>
  <si>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</si>
  <si>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</si>
  <si>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</si>
  <si>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</si>
  <si>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</si>
  <si>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</si>
  <si>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</si>
  <si>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</si>
  <si>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</si>
  <si>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</si>
  <si>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</si>
  <si>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</si>
  <si>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</si>
  <si>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</si>
  <si>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</si>
  <si>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</si>
  <si>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</si>
  <si>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</si>
  <si>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</si>
  <si>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</si>
  <si>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</si>
  <si>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</si>
  <si>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</si>
  <si>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</si>
  <si>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</si>
  <si>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</si>
  <si>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</si>
  <si>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</si>
  <si>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</si>
  <si>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</si>
  <si>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</si>
  <si>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</si>
  <si>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</si>
  <si>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</si>
  <si>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</si>
  <si>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</si>
  <si>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</si>
  <si>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</si>
  <si>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</si>
  <si>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</si>
  <si>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</si>
  <si>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</si>
  <si>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</si>
  <si>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</si>
  <si>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</si>
  <si>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</si>
  <si>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</si>
  <si>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</si>
  <si>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</si>
  <si>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</si>
  <si>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</si>
  <si>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</si>
  <si>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</si>
  <si>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</si>
  <si>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</si>
  <si>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</si>
  <si>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</si>
  <si>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</si>
  <si>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</si>
  <si>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</si>
  <si>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</si>
  <si>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</si>
  <si>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</si>
  <si>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</si>
  <si>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</si>
  <si>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</si>
  <si>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</si>
  <si>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</si>
  <si>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</si>
  <si>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</si>
  <si>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</si>
  <si>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</si>
  <si>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</si>
  <si>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</si>
  <si>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</si>
  <si>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</si>
  <si>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</si>
  <si>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</si>
  <si>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</si>
  <si>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</si>
  <si>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</si>
  <si>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</si>
  <si>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</si>
  <si>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</si>
  <si>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</si>
  <si>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</si>
  <si>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</si>
  <si>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</si>
  <si>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</si>
  <si>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</si>
  <si>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</si>
  <si>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</si>
  <si>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</si>
  <si>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</si>
  <si>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</si>
  <si>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</si>
  <si>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</si>
  <si>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</si>
  <si>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</si>
  <si>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</si>
  <si>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</si>
  <si>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</si>
  <si>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</si>
  <si>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</si>
  <si>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</si>
  <si>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</si>
  <si>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</si>
  <si>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</si>
  <si>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</si>
  <si>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</si>
  <si>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</si>
  <si>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</si>
  <si>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</si>
  <si>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</si>
  <si>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</si>
  <si>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</si>
  <si>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</si>
  <si>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</si>
  <si>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</si>
  <si>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</si>
  <si>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</si>
  <si>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</si>
  <si>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</si>
  <si>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</si>
  <si>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</si>
  <si>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</si>
  <si>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</si>
  <si>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</si>
  <si>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</si>
  <si>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</si>
  <si>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</si>
  <si>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</si>
  <si>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</si>
  <si>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</si>
  <si>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</si>
  <si>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</si>
  <si>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</si>
  <si>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</si>
  <si>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</si>
  <si>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</si>
  <si>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</si>
  <si>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</si>
  <si>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</si>
  <si>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</si>
  <si>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</si>
  <si>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</si>
  <si>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</si>
  <si>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</si>
  <si>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</si>
  <si>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</si>
  <si>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</si>
  <si>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</si>
  <si>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</si>
  <si>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</si>
  <si>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</si>
  <si>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</si>
  <si>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</si>
  <si>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</si>
  <si>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</si>
  <si>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</si>
  <si>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</si>
  <si>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</si>
  <si>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</si>
  <si>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</si>
  <si>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</si>
  <si>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</si>
  <si>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</si>
  <si>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</si>
  <si>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</si>
  <si>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</si>
  <si>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</si>
  <si>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</si>
  <si>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</si>
  <si>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</si>
  <si>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</si>
  <si>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</si>
  <si>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</si>
  <si>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</si>
  <si>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</si>
  <si>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</si>
  <si>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</si>
  <si>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</si>
  <si>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</si>
  <si>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</si>
  <si>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</si>
  <si>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</si>
  <si>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</si>
  <si>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</si>
  <si>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</si>
  <si>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</si>
  <si>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</si>
  <si>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</si>
  <si>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</si>
  <si>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</si>
  <si>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</si>
  <si>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</si>
  <si>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</si>
  <si>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</si>
  <si>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</si>
  <si>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</si>
  <si>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</si>
  <si>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</si>
  <si>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</si>
  <si>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</si>
  <si>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</si>
  <si>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</si>
  <si>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</si>
  <si>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</si>
  <si>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</si>
  <si>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</si>
  <si>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</si>
  <si>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</si>
  <si>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</si>
  <si>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</si>
  <si>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</si>
  <si>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</si>
  <si>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</si>
  <si>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</si>
  <si>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</si>
  <si>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</si>
  <si>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</si>
  <si>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</si>
  <si>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</si>
  <si>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</si>
  <si>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</si>
  <si>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</si>
  <si>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</si>
  <si>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</si>
  <si>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</si>
  <si>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</si>
  <si>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</si>
  <si>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</si>
  <si>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</si>
  <si>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</si>
  <si>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</si>
  <si>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</si>
  <si>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</si>
  <si>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</si>
  <si>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</si>
  <si>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</si>
  <si>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</si>
  <si>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</si>
  <si>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</si>
  <si>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</si>
  <si>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</si>
  <si>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</si>
  <si>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</si>
  <si>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</si>
  <si>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</si>
  <si>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</si>
  <si>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</si>
  <si>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</si>
  <si>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</si>
  <si>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</si>
  <si>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</si>
  <si>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</si>
  <si>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</si>
  <si>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</si>
  <si>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</si>
  <si>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</si>
  <si>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</si>
  <si>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</si>
  <si>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</si>
  <si>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</si>
  <si>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</si>
  <si>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</si>
  <si>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</si>
  <si>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</si>
  <si>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</si>
  <si>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</si>
  <si>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</si>
  <si>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</si>
  <si>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</si>
  <si>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</si>
  <si>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</si>
  <si>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</si>
  <si>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</si>
  <si>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</si>
  <si>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</si>
  <si>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</si>
  <si>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</si>
  <si>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</si>
  <si>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</si>
  <si>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</si>
  <si>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</si>
  <si>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</si>
  <si>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</si>
  <si>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</si>
  <si>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</si>
  <si>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</si>
  <si>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</si>
  <si>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</si>
  <si>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</si>
  <si>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</si>
  <si>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</si>
  <si>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</si>
  <si>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</si>
  <si>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</si>
  <si>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</si>
  <si>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</si>
  <si>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</si>
  <si>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</si>
  <si>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</si>
  <si>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</si>
  <si>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</si>
  <si>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</si>
  <si>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</si>
  <si>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</si>
  <si>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</si>
  <si>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</si>
  <si>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</si>
  <si>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</si>
  <si>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</si>
  <si>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</si>
  <si>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</si>
  <si>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</si>
  <si>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</si>
  <si>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</si>
  <si>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</si>
  <si>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</si>
  <si>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</si>
  <si>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</si>
  <si>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</si>
  <si>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</si>
  <si>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</si>
  <si>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</si>
  <si>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</si>
  <si>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</si>
  <si>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</si>
  <si>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</si>
  <si>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</si>
  <si>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</si>
  <si>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</si>
  <si>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</si>
  <si>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</si>
  <si>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</si>
  <si>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</si>
  <si>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</si>
  <si>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</si>
  <si>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</si>
  <si>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</si>
  <si>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</si>
  <si>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</si>
  <si>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</si>
  <si>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</si>
  <si>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</si>
  <si>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</si>
  <si>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</si>
  <si>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</si>
  <si>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</si>
  <si>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</si>
  <si>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</si>
  <si>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</si>
  <si>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</si>
  <si>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</si>
  <si>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</si>
  <si>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</si>
  <si>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</si>
  <si>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</si>
  <si>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</si>
  <si>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</si>
  <si>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</si>
  <si>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</si>
  <si>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</si>
  <si>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</si>
  <si>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</si>
  <si>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</si>
  <si>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</si>
  <si>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</si>
  <si>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</si>
  <si>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</si>
  <si>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</si>
  <si>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</si>
  <si>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</si>
  <si>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</si>
  <si>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</si>
  <si>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</si>
  <si>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</si>
  <si>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</si>
  <si>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</si>
  <si>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</si>
  <si>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</si>
  <si>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</si>
  <si>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</si>
  <si>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</si>
  <si>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</si>
  <si>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</si>
  <si>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</si>
  <si>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</si>
  <si>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</si>
  <si>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</si>
  <si>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</si>
  <si>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</si>
  <si>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</si>
  <si>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</si>
  <si>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</si>
  <si>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</si>
  <si>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</si>
  <si>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</si>
  <si>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</si>
  <si>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</si>
  <si>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</si>
  <si>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</si>
  <si>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</si>
  <si>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</si>
  <si>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</si>
  <si>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</si>
  <si>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</si>
  <si>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</si>
  <si>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</si>
  <si>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</si>
  <si>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</si>
  <si>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</si>
  <si>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</si>
  <si>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</si>
  <si>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</si>
  <si>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</si>
  <si>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</si>
  <si>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</si>
  <si>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</si>
  <si>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</si>
  <si>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</si>
  <si>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</si>
  <si>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</si>
  <si>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</si>
  <si>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</si>
  <si>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</si>
  <si>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</si>
  <si>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</si>
  <si>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</si>
  <si>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</si>
  <si>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</si>
  <si>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</si>
  <si>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</si>
  <si>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</si>
  <si>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</si>
  <si>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</si>
  <si>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</si>
  <si>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</si>
  <si>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</si>
  <si>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</si>
  <si>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</si>
  <si>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</si>
  <si>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</si>
  <si>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</si>
  <si>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</si>
  <si>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</si>
  <si>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</si>
  <si>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</si>
  <si>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</si>
  <si>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</si>
  <si>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</si>
  <si>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</si>
  <si>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</si>
  <si>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</si>
  <si>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</si>
  <si>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</si>
  <si>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</si>
  <si>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</si>
  <si>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</si>
  <si>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</si>
  <si>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</si>
  <si>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</si>
  <si>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</si>
  <si>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</si>
  <si>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</si>
  <si>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</si>
  <si>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</si>
  <si>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</si>
  <si>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</si>
  <si>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</si>
  <si>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</si>
  <si>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</si>
  <si>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</si>
  <si>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</si>
  <si>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</si>
  <si>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</si>
  <si>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</si>
  <si>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</si>
  <si>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</si>
  <si>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</si>
  <si>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</si>
  <si>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</si>
  <si>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</si>
  <si>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</si>
  <si>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</si>
  <si>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</si>
  <si>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</si>
  <si>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</si>
  <si>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</si>
  <si>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</si>
  <si>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</si>
  <si>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</si>
  <si>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</si>
  <si>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</si>
  <si>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</si>
  <si>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</si>
  <si>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</si>
  <si>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</si>
  <si>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</si>
  <si>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</si>
  <si>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</si>
  <si>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</si>
  <si>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</si>
  <si>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</si>
  <si>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</si>
  <si>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</si>
  <si>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</si>
  <si>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</si>
  <si>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</si>
  <si>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</si>
  <si>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</si>
  <si>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</si>
  <si>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</si>
  <si>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</si>
  <si>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</si>
  <si>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</si>
  <si>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</si>
  <si>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</si>
  <si>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</si>
  <si>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</si>
  <si>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</si>
  <si>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</si>
  <si>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</si>
  <si>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</si>
  <si>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</si>
  <si>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</si>
  <si>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</si>
  <si>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</si>
  <si>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</si>
  <si>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</si>
  <si>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</si>
  <si>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</si>
  <si>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</si>
  <si>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</si>
  <si>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</si>
  <si>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</si>
  <si>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</si>
  <si>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</si>
  <si>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</si>
  <si>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</si>
  <si>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</si>
  <si>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</si>
  <si>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</si>
  <si>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</si>
  <si>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</si>
  <si>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</si>
  <si>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</si>
  <si>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</si>
  <si>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</si>
  <si>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</si>
  <si>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</si>
  <si>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</si>
  <si>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</si>
  <si>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</si>
  <si>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</si>
  <si>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</si>
  <si>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</si>
  <si>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</si>
  <si>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</si>
  <si>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</si>
  <si>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</si>
  <si>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</si>
  <si>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</si>
  <si>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</si>
  <si>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</si>
  <si>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</si>
  <si>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</si>
  <si>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</si>
  <si>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</si>
  <si>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</si>
  <si>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</si>
  <si>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</si>
  <si>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</si>
  <si>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</si>
  <si>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</si>
  <si>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</si>
  <si>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</si>
  <si>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</si>
  <si>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</si>
  <si>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</si>
  <si>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</si>
  <si>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</si>
  <si>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</si>
  <si>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</si>
  <si>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</si>
  <si>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</si>
  <si>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</si>
  <si>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</si>
  <si>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</si>
  <si>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</si>
  <si>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</si>
  <si>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</si>
  <si>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</si>
  <si>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</si>
  <si>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</si>
  <si>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</si>
  <si>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</si>
  <si>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</si>
  <si>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</si>
  <si>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</si>
  <si>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</si>
  <si>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</si>
  <si>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</si>
  <si>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</si>
  <si>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</si>
  <si>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</si>
  <si>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</si>
  <si>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</si>
  <si>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</si>
  <si>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</si>
  <si>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</si>
  <si>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</si>
  <si>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</si>
  <si>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</si>
  <si>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</si>
  <si>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</si>
  <si>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</si>
  <si>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</si>
  <si>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</si>
  <si>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</si>
  <si>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</si>
  <si>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</si>
  <si>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</si>
  <si>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</si>
  <si>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</si>
  <si>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</si>
  <si>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</si>
  <si>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</si>
  <si>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</si>
  <si>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</si>
  <si>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</si>
  <si>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</si>
  <si>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</si>
  <si>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</si>
  <si>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</si>
  <si>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</si>
  <si>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</si>
  <si>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</si>
  <si>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</si>
  <si>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</si>
  <si>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</si>
  <si>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</si>
  <si>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</si>
  <si>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</si>
  <si>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</si>
  <si>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</si>
  <si>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</si>
  <si>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</si>
  <si>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</si>
  <si>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</si>
  <si>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</si>
  <si>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</si>
  <si>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</si>
  <si>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</si>
  <si>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</si>
  <si>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</si>
  <si>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</si>
  <si>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</si>
  <si>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</si>
  <si>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</si>
  <si>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</si>
  <si>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</si>
  <si>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</si>
  <si>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</si>
  <si>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</si>
  <si>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</si>
  <si>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</si>
  <si>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</si>
  <si>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</si>
  <si>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</si>
  <si>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</si>
  <si>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</si>
  <si>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</si>
  <si>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</si>
  <si>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</si>
  <si>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</si>
  <si>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</si>
  <si>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</si>
  <si>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</si>
  <si>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</si>
  <si>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</si>
  <si>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</si>
  <si>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</si>
  <si>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</si>
  <si>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</si>
  <si>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</si>
  <si>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</si>
  <si>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</si>
  <si>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</si>
  <si>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</si>
  <si>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</si>
  <si>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</si>
  <si>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</si>
  <si>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</si>
  <si>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</si>
  <si>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</si>
  <si>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</si>
  <si>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</si>
  <si>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</si>
  <si>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</si>
  <si>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</si>
  <si>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</si>
  <si>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</si>
  <si>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</si>
  <si>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</si>
  <si>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</si>
  <si>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</si>
  <si>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</si>
  <si>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</si>
  <si>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</si>
  <si>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</si>
  <si>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</si>
  <si>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</si>
  <si>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</si>
  <si>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</si>
  <si>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</si>
  <si>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</si>
  <si>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</si>
  <si>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</si>
  <si>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</si>
  <si>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</si>
  <si>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</si>
  <si>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</si>
  <si>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</si>
  <si>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</si>
  <si>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</si>
  <si>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</si>
  <si>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</si>
  <si>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</si>
  <si>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</si>
  <si>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</si>
  <si>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</si>
  <si>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</si>
  <si>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</si>
  <si>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</si>
  <si>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</si>
  <si>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</si>
  <si>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</si>
  <si>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</si>
  <si>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</si>
  <si>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</si>
  <si>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</si>
  <si>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</si>
  <si>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</si>
  <si>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</si>
  <si>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</si>
  <si>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</si>
  <si>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</si>
  <si>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</si>
  <si>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</si>
  <si>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</si>
  <si>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</si>
  <si>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</si>
  <si>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</si>
  <si>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</si>
  <si>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</si>
  <si>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</si>
  <si>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</si>
  <si>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</si>
  <si>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</si>
  <si>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</si>
  <si>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</si>
  <si>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</si>
  <si>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</si>
  <si>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</si>
  <si>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</si>
  <si>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</si>
  <si>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</si>
  <si>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</si>
  <si>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</si>
  <si>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</si>
  <si>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</si>
  <si>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</si>
  <si>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</si>
  <si>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</si>
  <si>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</si>
  <si>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</si>
  <si>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</si>
  <si>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</si>
  <si>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</si>
  <si>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</si>
  <si>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</si>
  <si>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</si>
  <si>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</si>
  <si>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</si>
  <si>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</si>
  <si>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</si>
  <si>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</si>
  <si>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</si>
  <si>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</si>
  <si>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</si>
  <si>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</si>
  <si>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</si>
  <si>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</si>
  <si>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</si>
  <si>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</si>
  <si>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</si>
  <si>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</si>
  <si>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</si>
  <si>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</si>
  <si>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</si>
  <si>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</si>
  <si>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</si>
  <si>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</si>
  <si>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</si>
  <si>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</si>
  <si>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</si>
  <si>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</si>
  <si>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</si>
  <si>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</si>
  <si>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</si>
  <si>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</si>
  <si>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</si>
  <si>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</si>
  <si>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</si>
  <si>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</si>
  <si>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</si>
  <si>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</si>
  <si>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</si>
  <si>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</si>
  <si>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</si>
  <si>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</si>
  <si>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</si>
  <si>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</si>
  <si>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</si>
  <si>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</si>
  <si>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</si>
  <si>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</si>
  <si>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</si>
  <si>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</si>
  <si>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</si>
  <si>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</si>
  <si>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</si>
  <si>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</si>
  <si>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</si>
  <si>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</si>
  <si>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</si>
  <si>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</si>
  <si>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</si>
  <si>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</si>
  <si>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</si>
  <si>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</si>
  <si>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</si>
  <si>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</si>
  <si>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</si>
  <si>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</si>
  <si>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</si>
  <si>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</si>
  <si>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</si>
  <si>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</si>
  <si>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</si>
  <si>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</si>
  <si>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</si>
  <si>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</si>
  <si>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</si>
  <si>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</si>
  <si>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</si>
  <si>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</si>
  <si>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</si>
  <si>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</si>
  <si>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</si>
  <si>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</si>
  <si>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</si>
  <si>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</si>
  <si>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</si>
  <si>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</si>
  <si>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</si>
  <si>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</si>
  <si>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</si>
  <si>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</si>
  <si>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</si>
  <si>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</si>
  <si>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</si>
  <si>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</si>
  <si>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</si>
  <si>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</si>
  <si>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</si>
  <si>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</si>
  <si>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</si>
  <si>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</si>
  <si>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</si>
  <si>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</si>
  <si>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</si>
  <si>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</si>
  <si>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</si>
  <si>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</si>
  <si>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</si>
  <si>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</si>
  <si>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</si>
  <si>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</si>
  <si>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</si>
  <si>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</si>
  <si>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</si>
  <si>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</si>
  <si>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</si>
  <si>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</si>
  <si>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</si>
  <si>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</si>
  <si>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</si>
  <si>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</si>
  <si>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</si>
  <si>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</si>
  <si>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</si>
  <si>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</si>
  <si>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</si>
  <si>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</si>
  <si>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</si>
  <si>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</si>
  <si>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</si>
  <si>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</si>
  <si>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</si>
  <si>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</si>
  <si>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</si>
  <si>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</si>
  <si>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</si>
  <si>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</si>
  <si>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</si>
  <si>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</si>
  <si>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</si>
  <si>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</si>
  <si>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</si>
  <si>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</si>
  <si>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</si>
  <si>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</si>
  <si>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</si>
  <si>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</si>
  <si>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</si>
  <si>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</si>
  <si>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</si>
  <si>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</si>
  <si>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</si>
  <si>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</si>
  <si>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</si>
  <si>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</si>
  <si>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</si>
  <si>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</si>
  <si>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</si>
  <si>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</si>
  <si>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</si>
  <si>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</si>
  <si>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</si>
  <si>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</si>
  <si>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</si>
  <si>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</si>
  <si>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</si>
  <si>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</si>
  <si>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</si>
  <si>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</si>
  <si>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</si>
  <si>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</si>
  <si>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</si>
  <si>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</si>
  <si>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</si>
  <si>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</si>
  <si>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</si>
  <si>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</si>
  <si>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</si>
  <si>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</si>
  <si>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</si>
  <si>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</si>
  <si>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</si>
  <si>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</si>
  <si>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</si>
  <si>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</si>
  <si>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</si>
  <si>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</si>
  <si>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</si>
  <si>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</si>
  <si>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</si>
  <si>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</si>
  <si>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</si>
  <si>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</si>
  <si>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</si>
  <si>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</si>
  <si>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</si>
  <si>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</si>
  <si>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</si>
  <si>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</si>
  <si>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</si>
  <si>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</si>
  <si>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</si>
  <si>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</si>
  <si>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</si>
  <si>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</si>
  <si>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</si>
  <si>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</si>
  <si>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</si>
  <si>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</si>
  <si>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</si>
  <si>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</si>
  <si>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</si>
  <si>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</si>
  <si>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</si>
  <si>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</si>
  <si>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</si>
  <si>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</si>
  <si>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</si>
  <si>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</si>
  <si>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</si>
  <si>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</si>
  <si>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</si>
  <si>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</si>
  <si>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</si>
  <si>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</si>
  <si>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</si>
  <si>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</si>
  <si>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</si>
  <si>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</si>
  <si>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</si>
  <si>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</si>
  <si>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</si>
  <si>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</si>
  <si>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</si>
  <si>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</si>
  <si>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</si>
  <si>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</si>
  <si>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</si>
  <si>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</si>
  <si>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</si>
  <si>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</si>
  <si>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</si>
  <si>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</si>
  <si>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</si>
  <si>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</si>
  <si>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</si>
  <si>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</si>
  <si>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</si>
  <si>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</si>
  <si>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</si>
  <si>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</si>
  <si>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</si>
  <si>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</si>
  <si>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</si>
  <si>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</si>
  <si>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</si>
  <si>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</si>
  <si>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</si>
  <si>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</si>
  <si>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</si>
  <si>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</si>
  <si>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</si>
  <si>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</si>
  <si>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</si>
  <si>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</si>
  <si>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</si>
  <si>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</si>
  <si>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</si>
  <si>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</si>
  <si>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</si>
  <si>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</si>
  <si>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</si>
  <si>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</si>
  <si>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</si>
  <si>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</si>
  <si>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</si>
  <si>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</si>
  <si>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</si>
  <si>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</si>
  <si>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</si>
  <si>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</si>
  <si>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</si>
  <si>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</si>
  <si>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</si>
  <si>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</si>
  <si>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</si>
  <si>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</si>
  <si>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</si>
  <si>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</si>
  <si>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</si>
  <si>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</si>
  <si>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</si>
  <si>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</si>
  <si>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</si>
  <si>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</si>
  <si>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</si>
  <si>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</si>
  <si>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</si>
  <si>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</si>
  <si>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</si>
  <si>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</si>
  <si>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</si>
  <si>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</si>
  <si>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</si>
  <si>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</si>
  <si>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</si>
  <si>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</si>
  <si>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</si>
  <si>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</si>
  <si>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</si>
  <si>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</si>
  <si>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</si>
  <si>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</si>
  <si>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</si>
  <si>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</si>
  <si>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</si>
  <si>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</si>
  <si>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</si>
  <si>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</si>
  <si>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</si>
  <si>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</si>
  <si>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</si>
  <si>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</si>
  <si>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</si>
  <si>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</si>
  <si>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</si>
  <si>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</si>
  <si>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</si>
  <si>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</si>
  <si>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</si>
  <si>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</si>
  <si>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</si>
  <si>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</si>
  <si>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</si>
  <si>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</si>
  <si>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</si>
  <si>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</si>
  <si>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</si>
  <si>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</si>
  <si>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</si>
  <si>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</si>
  <si>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</si>
  <si>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</si>
  <si>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</si>
  <si>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</si>
  <si>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</si>
  <si>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</si>
  <si>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</si>
  <si>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</si>
  <si>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</si>
  <si>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</si>
  <si>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</si>
  <si>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</si>
  <si>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</si>
  <si>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</si>
  <si>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</si>
  <si>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</si>
  <si>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</si>
  <si>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</si>
  <si>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</si>
  <si>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</si>
  <si>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</si>
  <si>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</si>
  <si>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</si>
  <si>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</si>
  <si>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</si>
  <si>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</si>
  <si>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</si>
  <si>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</si>
  <si>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</si>
  <si>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</si>
  <si>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</si>
  <si>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</si>
  <si>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</si>
  <si>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</si>
  <si>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</si>
  <si>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</si>
  <si>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</si>
  <si>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</si>
  <si>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</si>
  <si>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</si>
  <si>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</si>
  <si>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</si>
  <si>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</si>
  <si>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</si>
  <si>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</si>
  <si>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</si>
  <si>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</si>
  <si>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</si>
  <si>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</si>
  <si>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</si>
  <si>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</si>
  <si>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</si>
  <si>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</si>
  <si>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</si>
  <si>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</si>
  <si>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</si>
  <si>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</si>
  <si>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</si>
  <si>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</si>
  <si>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</si>
  <si>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</si>
  <si>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</si>
  <si>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</si>
  <si>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</si>
  <si>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</si>
  <si>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</si>
  <si>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</si>
  <si>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</si>
  <si>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</si>
  <si>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</si>
  <si>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</si>
  <si>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</si>
  <si>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</si>
  <si>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</si>
  <si>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</si>
  <si>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</si>
  <si>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</si>
  <si>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</si>
  <si>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</si>
  <si>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</si>
  <si>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</si>
  <si>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</si>
  <si>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</si>
  <si>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</si>
  <si>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</si>
  <si>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</si>
  <si>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</si>
  <si>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</si>
  <si>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</si>
  <si>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</si>
  <si>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</si>
  <si>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</si>
  <si>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</si>
  <si>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</si>
  <si>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</si>
  <si>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</si>
  <si>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</si>
  <si>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</si>
  <si>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</si>
  <si>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</si>
  <si>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</si>
  <si>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</si>
  <si>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</si>
  <si>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</si>
  <si>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</si>
  <si>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</si>
  <si>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</si>
  <si>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</si>
  <si>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</si>
  <si>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</si>
  <si>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</si>
  <si>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</si>
  <si>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</si>
  <si>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</si>
  <si>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</si>
  <si>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</si>
  <si>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</si>
  <si>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</si>
  <si>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</si>
  <si>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</si>
  <si>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</si>
  <si>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</si>
  <si>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</si>
  <si>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</si>
  <si>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</si>
  <si>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</si>
  <si>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</si>
  <si>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</si>
  <si>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</si>
  <si>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</si>
  <si>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</si>
  <si>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</si>
  <si>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</si>
  <si>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</si>
  <si>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</si>
  <si>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</si>
  <si>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</si>
  <si>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</si>
  <si>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</si>
  <si>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</si>
  <si>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</si>
  <si>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</si>
  <si>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</si>
  <si>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</si>
  <si>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</si>
  <si>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</si>
  <si>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</si>
  <si>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</si>
  <si>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</si>
  <si>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</si>
  <si>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</si>
  <si>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</si>
  <si>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</si>
  <si>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</si>
  <si>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</si>
  <si>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</si>
  <si>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</si>
  <si>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</si>
  <si>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</si>
  <si>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</si>
  <si>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</si>
  <si>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</si>
  <si>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</si>
  <si>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</si>
  <si>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</si>
  <si>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</si>
  <si>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</si>
  <si>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</si>
  <si>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</si>
  <si>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</si>
  <si>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</si>
  <si>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</si>
  <si>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</si>
  <si>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</si>
  <si>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</si>
  <si>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</si>
  <si>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</si>
  <si>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</si>
  <si>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</si>
  <si>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</si>
  <si>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</si>
  <si>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</si>
  <si>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</si>
  <si>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</si>
  <si>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</si>
  <si>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</si>
  <si>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</si>
  <si>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</si>
  <si>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</si>
  <si>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</si>
  <si>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</si>
  <si>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</si>
  <si>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</si>
  <si>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</si>
  <si>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</si>
  <si>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</si>
  <si>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</si>
  <si>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</si>
  <si>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</si>
  <si>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</si>
  <si>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</si>
  <si>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</si>
  <si>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</si>
  <si>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</si>
  <si>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</si>
  <si>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</si>
  <si>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</si>
  <si>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</si>
  <si>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</si>
  <si>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</si>
  <si>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</si>
  <si>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</si>
  <si>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</si>
  <si>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</si>
  <si>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</si>
  <si>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</si>
  <si>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</si>
  <si>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</si>
  <si>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</si>
  <si>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</si>
  <si>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</si>
  <si>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</si>
  <si>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</si>
  <si>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</si>
  <si>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</si>
  <si>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</si>
  <si>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</si>
  <si>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</si>
  <si>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</si>
  <si>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</si>
  <si>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</si>
  <si>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</si>
  <si>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</si>
  <si>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</si>
  <si>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</si>
  <si>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</si>
  <si>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</si>
  <si>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</si>
  <si>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</si>
  <si>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</si>
  <si>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</si>
  <si>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</si>
  <si>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</si>
  <si>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</si>
  <si>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</si>
  <si>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</si>
  <si>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</si>
  <si>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</si>
  <si>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</si>
  <si>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</si>
  <si>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</si>
  <si>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</si>
  <si>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</si>
  <si>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</si>
  <si>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</si>
  <si>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</si>
  <si>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</si>
  <si>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</si>
  <si>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</si>
  <si>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</si>
  <si>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</si>
  <si>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</si>
  <si>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</si>
  <si>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</si>
  <si>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</si>
  <si>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</si>
  <si>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</si>
  <si>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</si>
  <si>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</si>
  <si>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</si>
  <si>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</si>
  <si>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</si>
  <si>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</si>
  <si>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</si>
  <si>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</si>
  <si>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</si>
  <si>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</si>
  <si>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</si>
  <si>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</si>
  <si>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</si>
  <si>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</si>
  <si>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</si>
  <si>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</si>
  <si>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</si>
  <si>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</si>
  <si>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</si>
  <si>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</si>
  <si>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</si>
  <si>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</si>
  <si>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</si>
  <si>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</si>
  <si>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</si>
  <si>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</si>
  <si>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</si>
  <si>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</si>
  <si>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</si>
  <si>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</si>
  <si>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</si>
  <si>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</si>
  <si>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</si>
  <si>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</si>
  <si>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</si>
  <si>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</si>
  <si>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</si>
  <si>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</si>
  <si>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</si>
  <si>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</si>
  <si>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</si>
  <si>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</si>
  <si>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</si>
  <si>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</si>
  <si>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</si>
  <si>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</si>
  <si>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</si>
  <si>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</si>
  <si>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</si>
  <si>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</si>
  <si>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</si>
  <si>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</si>
  <si>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</si>
  <si>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</si>
  <si>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</si>
  <si>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</si>
  <si>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</si>
  <si>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</si>
  <si>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</si>
  <si>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</si>
  <si>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</si>
  <si>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</si>
  <si>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</si>
  <si>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</si>
  <si>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</si>
  <si>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</si>
  <si>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</si>
  <si>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</si>
  <si>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</si>
  <si>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</si>
  <si>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</si>
  <si>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</si>
  <si>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</si>
  <si>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</si>
  <si>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</si>
  <si>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</si>
  <si>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</si>
  <si>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</si>
  <si>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</si>
  <si>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</si>
  <si>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</si>
  <si>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</si>
  <si>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</si>
  <si>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</si>
  <si>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</si>
  <si>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</si>
  <si>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</si>
  <si>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</si>
  <si>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</si>
  <si>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</si>
  <si>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</si>
  <si>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</si>
  <si>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</si>
  <si>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</si>
  <si>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</si>
  <si>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</si>
  <si>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</si>
  <si>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</si>
  <si>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</si>
  <si>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</si>
  <si>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</si>
  <si>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</si>
  <si>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</si>
  <si>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</si>
  <si>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</si>
  <si>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</si>
  <si>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</si>
  <si>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</si>
  <si>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</si>
  <si>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</si>
  <si>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</si>
  <si>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</si>
  <si>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</si>
  <si>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</si>
  <si>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</si>
  <si>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</si>
  <si>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</si>
  <si>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</si>
  <si>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</si>
  <si>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</si>
  <si>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</si>
  <si>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</si>
  <si>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</si>
  <si>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</si>
  <si>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</si>
  <si>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</si>
  <si>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</si>
  <si>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</si>
  <si>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</si>
  <si>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</si>
  <si>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</si>
  <si>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</si>
  <si>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</si>
  <si>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</si>
  <si>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</si>
  <si>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</si>
  <si>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</si>
  <si>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</si>
  <si>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</si>
  <si>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</si>
  <si>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</si>
  <si>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</si>
  <si>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</si>
  <si>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</si>
  <si>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</si>
  <si>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</si>
  <si>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</si>
  <si>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</si>
  <si>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</si>
  <si>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</si>
  <si>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</si>
  <si>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</si>
  <si>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</si>
  <si>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</si>
  <si>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</si>
  <si>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</si>
  <si>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</si>
  <si>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</si>
  <si>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</si>
  <si>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</si>
  <si>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</si>
  <si>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</si>
  <si>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</si>
  <si>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</si>
  <si>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</si>
  <si>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</si>
  <si>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</si>
  <si>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</si>
  <si>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</si>
  <si>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</si>
  <si>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</si>
  <si>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</si>
  <si>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</si>
  <si>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</si>
  <si>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</si>
  <si>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</si>
  <si>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</si>
  <si>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</si>
  <si>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</si>
  <si>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</si>
  <si>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</si>
  <si>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</si>
  <si>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</si>
  <si>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</si>
  <si>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</si>
  <si>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</si>
  <si>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</si>
  <si>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</si>
  <si>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</si>
  <si>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</si>
  <si>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</si>
  <si>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</si>
  <si>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</si>
  <si>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</si>
  <si>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</si>
  <si>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</si>
  <si>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</si>
  <si>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</si>
  <si>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</si>
  <si>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</si>
  <si>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</si>
  <si>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</si>
  <si>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</si>
  <si>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</si>
  <si>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</si>
  <si>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</si>
  <si>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</si>
  <si>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</si>
  <si>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</si>
  <si>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</si>
  <si>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</si>
  <si>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</si>
  <si>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</si>
  <si>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</si>
  <si>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</si>
  <si>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</si>
  <si>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</si>
  <si>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</si>
  <si>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</si>
  <si>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</si>
  <si>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</si>
  <si>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</si>
  <si>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</si>
  <si>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</si>
  <si>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</si>
  <si>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</si>
  <si>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</si>
  <si>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</si>
  <si>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</si>
  <si>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</si>
  <si>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</si>
  <si>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</si>
  <si>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</si>
  <si>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</si>
  <si>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</si>
  <si>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</si>
  <si>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</si>
  <si>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</si>
  <si>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</si>
  <si>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</si>
  <si>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</si>
  <si>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</si>
  <si>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</si>
  <si>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</si>
  <si>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</si>
  <si>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</si>
  <si>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</si>
  <si>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</si>
  <si>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</si>
  <si>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</si>
  <si>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</si>
  <si>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</si>
  <si>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</si>
  <si>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</si>
  <si>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</si>
  <si>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</si>
  <si>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</si>
  <si>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</si>
  <si>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</si>
  <si>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</si>
  <si>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</si>
  <si>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</si>
  <si>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</si>
  <si>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</si>
  <si>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</si>
  <si>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</si>
  <si>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</si>
  <si>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</si>
  <si>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</si>
  <si>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</si>
  <si>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</si>
  <si>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</si>
  <si>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</si>
  <si>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</si>
  <si>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</si>
  <si>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</si>
  <si>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</si>
  <si>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</si>
  <si>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</si>
  <si>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</si>
  <si>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</si>
  <si>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</si>
  <si>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</si>
  <si>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</si>
  <si>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</si>
  <si>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</si>
  <si>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</si>
  <si>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</si>
  <si>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</si>
  <si>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</si>
  <si>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</si>
  <si>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</si>
  <si>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</si>
  <si>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</si>
  <si>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</si>
  <si>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</si>
  <si>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</si>
  <si>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</si>
  <si>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</si>
  <si>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</si>
  <si>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</si>
  <si>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</si>
  <si>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</si>
  <si>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</si>
  <si>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</si>
  <si>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</si>
  <si>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</si>
  <si>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</si>
  <si>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</si>
  <si>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</si>
  <si>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</si>
  <si>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</si>
  <si>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</si>
  <si>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</si>
  <si>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</si>
  <si>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</si>
  <si>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</si>
  <si>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</si>
  <si>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</si>
  <si>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</si>
  <si>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</si>
  <si>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</si>
  <si>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</si>
  <si>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</si>
  <si>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</si>
  <si>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</si>
  <si>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</si>
  <si>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</si>
  <si>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</si>
  <si>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</si>
  <si>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</si>
  <si>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</si>
  <si>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</si>
  <si>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</si>
  <si>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</si>
  <si>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</si>
  <si>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</si>
  <si>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</si>
  <si>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</si>
  <si>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</si>
  <si>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</si>
  <si>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</si>
  <si>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</si>
  <si>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</si>
  <si>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</si>
  <si>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</si>
  <si>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</si>
  <si>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</si>
  <si>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</si>
  <si>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</si>
  <si>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王鹏</t>
  </si>
  <si>
    <t>抵押</t>
  </si>
  <si>
    <t>房地产抵押价值</t>
  </si>
  <si>
    <t>北京市</t>
  </si>
  <si>
    <t>北京世纪润丰源资产管理有限公司</t>
    <phoneticPr fontId="6" type="noConversion"/>
  </si>
  <si>
    <t>中国民生银行股份有限公司北京分行</t>
    <phoneticPr fontId="6" type="noConversion"/>
  </si>
  <si>
    <r>
      <rPr>
        <sz val="12"/>
        <color theme="9" tint="-0.249977111117893"/>
        <rFont val="宋体"/>
        <family val="3"/>
        <charset val="134"/>
      </rPr>
      <t>西城区真武庙路二条</t>
    </r>
    <r>
      <rPr>
        <sz val="12"/>
        <color theme="9" tint="-0.249977111117893"/>
        <rFont val="Arial"/>
        <family val="2"/>
      </rPr>
      <t>10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7</t>
    </r>
    <r>
      <rPr>
        <sz val="12"/>
        <color theme="9" tint="-0.249977111117893"/>
        <rFont val="宋体"/>
        <family val="3"/>
        <charset val="134"/>
      </rPr>
      <t>单元</t>
    </r>
    <r>
      <rPr>
        <sz val="12"/>
        <color theme="9" tint="-0.249977111117893"/>
        <rFont val="Arial"/>
        <family val="2"/>
      </rPr>
      <t>102</t>
    </r>
    <r>
      <rPr>
        <sz val="12"/>
        <color theme="9" tint="-0.249977111117893"/>
        <rFont val="宋体"/>
        <family val="3"/>
        <charset val="134"/>
      </rPr>
      <t>及</t>
    </r>
    <r>
      <rPr>
        <sz val="12"/>
        <color theme="9" tint="-0.249977111117893"/>
        <rFont val="Arial"/>
        <family val="2"/>
      </rPr>
      <t>103</t>
    </r>
    <r>
      <rPr>
        <sz val="12"/>
        <color theme="9" tint="-0.249977111117893"/>
        <rFont val="宋体"/>
        <family val="3"/>
        <charset val="134"/>
      </rPr>
      <t>共计两套商业服务用房</t>
    </r>
    <phoneticPr fontId="6" type="noConversion"/>
  </si>
  <si>
    <t>企业</t>
  </si>
  <si>
    <t>住宅</t>
  </si>
  <si>
    <t>住宅</t>
    <phoneticPr fontId="6" type="noConversion"/>
  </si>
  <si>
    <t>《房屋所有权证》[X京房权证西字第140276号]等20本</t>
    <phoneticPr fontId="6" type="noConversion"/>
  </si>
  <si>
    <t>否</t>
  </si>
  <si>
    <t>复印件</t>
  </si>
  <si>
    <t>居住项目</t>
  </si>
  <si>
    <t>无</t>
  </si>
  <si>
    <t>现房</t>
  </si>
  <si>
    <t>通路</t>
  </si>
  <si>
    <t>通电</t>
  </si>
  <si>
    <t>通讯</t>
  </si>
  <si>
    <t>通上水</t>
  </si>
  <si>
    <t>通下水</t>
  </si>
  <si>
    <t>通热</t>
  </si>
  <si>
    <t>燃气</t>
  </si>
  <si>
    <t>西城区真武庙路二条10号楼2层5单元202</t>
  </si>
  <si>
    <t>西城区真武庙路二条10号楼2层5单元204</t>
  </si>
  <si>
    <t>西城区真武庙路二条10号楼6层5单元701</t>
  </si>
  <si>
    <t>西城区真武庙路二条10号楼6层5单元703</t>
  </si>
  <si>
    <t>西城区真武庙路二条10号楼7层6单元801</t>
  </si>
  <si>
    <t>西城区真武庙路二条10号楼7层6单元803</t>
  </si>
  <si>
    <t>西城区真武庙路二条10号楼7层12单元802</t>
  </si>
  <si>
    <t>西城区真武庙路二条10号楼7层12单元804</t>
  </si>
  <si>
    <t>西城区真武庙路二条10号楼8层5单元902</t>
  </si>
  <si>
    <t>西城区真武庙路二条10号楼8层5单元904</t>
  </si>
  <si>
    <t>西城区真武庙路二条10号楼12层11单元1501</t>
  </si>
  <si>
    <t>西城区真武庙路二条10号楼12层11单元1503</t>
  </si>
  <si>
    <t>西城区真武庙路二条10号楼13层5单元1601</t>
  </si>
  <si>
    <t>西城区真武庙路二条10号楼13层5单元1603</t>
  </si>
  <si>
    <t>西城区真武庙路二条10号楼14层5单元1702</t>
  </si>
  <si>
    <t>西城区真武庙路二条10号楼14层5单元1704</t>
  </si>
  <si>
    <t>西城区真武庙路二条10号楼14层8单元1702</t>
  </si>
  <si>
    <t>西城区真武庙路二条10号楼14层8单元1704</t>
  </si>
  <si>
    <t>西城区真武庙路二条10号楼14层9单元1702</t>
  </si>
  <si>
    <t>西城区真武庙路二条10号楼14层9单元1704</t>
  </si>
  <si>
    <t>是</t>
    <phoneticPr fontId="3" type="noConversion"/>
  </si>
  <si>
    <t>地上</t>
  </si>
  <si>
    <t>住宅</t>
    <phoneticPr fontId="7" type="noConversion"/>
  </si>
  <si>
    <t>出让</t>
  </si>
  <si>
    <t>成新度</t>
  </si>
  <si>
    <t>估价对象周边居住用地比例大、居住小区规模和社区发展完善，综合评价居住社区成熟度好</t>
    <phoneticPr fontId="41" type="noConversion"/>
  </si>
  <si>
    <t>估价对象周边道路通达、公共交通通达、停车便捷，综合评价交通便捷度好</t>
    <phoneticPr fontId="41" type="noConversion"/>
  </si>
  <si>
    <t>估价对象所在区域公共配套设施齐备</t>
    <phoneticPr fontId="41" type="noConversion"/>
  </si>
  <si>
    <t>估价对象所在区域基础设施水平七通</t>
    <phoneticPr fontId="25" type="noConversion"/>
  </si>
  <si>
    <t>区域自然环境较好；人文环境较好；综合评价环境状况较好</t>
    <phoneticPr fontId="41" type="noConversion"/>
  </si>
  <si>
    <t>较一致</t>
    <phoneticPr fontId="25" type="noConversion"/>
  </si>
  <si>
    <t>单面临街</t>
  </si>
  <si>
    <t>融泽府</t>
    <phoneticPr fontId="3" type="noConversion"/>
  </si>
  <si>
    <t>新302温馨家园</t>
    <phoneticPr fontId="3" type="noConversion"/>
  </si>
  <si>
    <t>广电总局西便门小区</t>
    <phoneticPr fontId="3" type="noConversion"/>
  </si>
  <si>
    <t>南北</t>
  </si>
  <si>
    <t>南北</t>
    <phoneticPr fontId="25" type="noConversion"/>
  </si>
  <si>
    <t>南</t>
    <phoneticPr fontId="25" type="noConversion"/>
  </si>
  <si>
    <t>东南</t>
  </si>
  <si>
    <t>东南</t>
    <phoneticPr fontId="25" type="noConversion"/>
  </si>
  <si>
    <t>西南</t>
    <phoneticPr fontId="25" type="noConversion"/>
  </si>
  <si>
    <t>东</t>
    <phoneticPr fontId="25" type="noConversion"/>
  </si>
  <si>
    <t>东西</t>
  </si>
  <si>
    <t>东西</t>
    <phoneticPr fontId="25" type="noConversion"/>
  </si>
  <si>
    <t>东北</t>
    <phoneticPr fontId="25" type="noConversion"/>
  </si>
  <si>
    <t>西北</t>
    <phoneticPr fontId="25" type="noConversion"/>
  </si>
  <si>
    <t>北</t>
    <phoneticPr fontId="25" type="noConversion"/>
  </si>
  <si>
    <t>别墅</t>
    <phoneticPr fontId="25" type="noConversion"/>
  </si>
  <si>
    <t>洋房</t>
    <phoneticPr fontId="25" type="noConversion"/>
  </si>
  <si>
    <t>普通住宅</t>
  </si>
  <si>
    <t>普通住宅</t>
    <phoneticPr fontId="25" type="noConversion"/>
  </si>
  <si>
    <t>钢混</t>
  </si>
  <si>
    <t>钢混</t>
    <phoneticPr fontId="25" type="noConversion"/>
  </si>
  <si>
    <t>高档</t>
  </si>
  <si>
    <t>高档</t>
    <phoneticPr fontId="25" type="noConversion"/>
  </si>
  <si>
    <t>普通</t>
  </si>
  <si>
    <t>普通</t>
    <phoneticPr fontId="25" type="noConversion"/>
  </si>
  <si>
    <t>精装</t>
  </si>
  <si>
    <t>精装</t>
    <phoneticPr fontId="25" type="noConversion"/>
  </si>
  <si>
    <t>普装</t>
  </si>
  <si>
    <t>普装</t>
    <phoneticPr fontId="25" type="noConversion"/>
  </si>
  <si>
    <t>简装</t>
    <phoneticPr fontId="25" type="noConversion"/>
  </si>
  <si>
    <t>毛坯</t>
    <phoneticPr fontId="25" type="noConversion"/>
  </si>
  <si>
    <t>专业</t>
  </si>
  <si>
    <t>专业</t>
    <phoneticPr fontId="25" type="noConversion"/>
  </si>
  <si>
    <t>七通</t>
  </si>
  <si>
    <t>七通</t>
    <phoneticPr fontId="25" type="noConversion"/>
  </si>
  <si>
    <t>正常</t>
  </si>
  <si>
    <t>住宅</t>
    <phoneticPr fontId="25" type="noConversion"/>
  </si>
  <si>
    <t>60-70（含）</t>
  </si>
  <si>
    <t>好</t>
  </si>
  <si>
    <t>较好</t>
  </si>
  <si>
    <r>
      <t>4</t>
    </r>
    <r>
      <rPr>
        <sz val="11"/>
        <color indexed="8"/>
        <rFont val="宋体"/>
        <family val="3"/>
        <charset val="134"/>
      </rPr>
      <t>室</t>
    </r>
    <r>
      <rPr>
        <sz val="11"/>
        <color indexed="8"/>
        <rFont val="Arial"/>
        <family val="2"/>
      </rPr>
      <t>2</t>
    </r>
    <r>
      <rPr>
        <sz val="11"/>
        <color indexed="8"/>
        <rFont val="宋体"/>
        <family val="3"/>
        <charset val="134"/>
      </rPr>
      <t>厅</t>
    </r>
    <r>
      <rPr>
        <sz val="11"/>
        <color indexed="8"/>
        <rFont val="Arial"/>
        <family val="2"/>
      </rPr>
      <t>3</t>
    </r>
    <r>
      <rPr>
        <sz val="11"/>
        <color indexed="8"/>
        <rFont val="宋体"/>
        <family val="3"/>
        <charset val="134"/>
      </rPr>
      <t>卫</t>
    </r>
    <phoneticPr fontId="25" type="noConversion"/>
  </si>
  <si>
    <r>
      <t>4</t>
    </r>
    <r>
      <rPr>
        <sz val="11"/>
        <color indexed="8"/>
        <rFont val="宋体"/>
        <family val="3"/>
        <charset val="134"/>
      </rPr>
      <t>室</t>
    </r>
    <r>
      <rPr>
        <sz val="11"/>
        <color indexed="8"/>
        <rFont val="Arial"/>
        <family val="2"/>
      </rPr>
      <t>1</t>
    </r>
    <r>
      <rPr>
        <sz val="11"/>
        <color indexed="8"/>
        <rFont val="宋体"/>
        <family val="3"/>
        <charset val="134"/>
      </rPr>
      <t>厅</t>
    </r>
    <r>
      <rPr>
        <sz val="11"/>
        <color indexed="8"/>
        <rFont val="Arial"/>
        <family val="2"/>
      </rPr>
      <t>2</t>
    </r>
    <r>
      <rPr>
        <sz val="11"/>
        <color indexed="8"/>
        <rFont val="宋体"/>
        <family val="3"/>
        <charset val="134"/>
      </rPr>
      <t>卫</t>
    </r>
    <phoneticPr fontId="25" type="noConversion"/>
  </si>
  <si>
    <r>
      <t>3</t>
    </r>
    <r>
      <rPr>
        <sz val="11"/>
        <rFont val="宋体"/>
        <family val="3"/>
        <charset val="134"/>
      </rPr>
      <t>室</t>
    </r>
    <r>
      <rPr>
        <sz val="11"/>
        <rFont val="Arial"/>
        <family val="2"/>
      </rPr>
      <t>1</t>
    </r>
    <r>
      <rPr>
        <sz val="11"/>
        <rFont val="宋体"/>
        <family val="3"/>
        <charset val="134"/>
      </rPr>
      <t>厅</t>
    </r>
    <r>
      <rPr>
        <sz val="11"/>
        <rFont val="Arial"/>
        <family val="2"/>
      </rPr>
      <t>1</t>
    </r>
    <r>
      <rPr>
        <sz val="11"/>
        <rFont val="宋体"/>
        <family val="3"/>
        <charset val="134"/>
      </rPr>
      <t>卫</t>
    </r>
    <phoneticPr fontId="25" type="noConversion"/>
  </si>
  <si>
    <t>未知</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</si>
  <si>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</si>
  <si>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租金</t>
  </si>
  <si>
    <t>收益法 (元)</t>
  </si>
  <si>
    <t>非生产用房</t>
  </si>
  <si>
    <t>押一</t>
  </si>
  <si>
    <t>否</t>
    <phoneticPr fontId="3" type="noConversion"/>
  </si>
  <si>
    <t>比较法-住宅</t>
  </si>
  <si>
    <t>项目局部</t>
  </si>
  <si>
    <t>比较法</t>
  </si>
  <si>
    <t>*</t>
  </si>
  <si>
    <t>西城晶华</t>
    <phoneticPr fontId="3" type="noConversion"/>
  </si>
  <si>
    <r>
      <t>3</t>
    </r>
    <r>
      <rPr>
        <sz val="11"/>
        <color indexed="8"/>
        <rFont val="宋体"/>
        <family val="3"/>
        <charset val="134"/>
      </rPr>
      <t>室</t>
    </r>
    <r>
      <rPr>
        <sz val="11"/>
        <color indexed="8"/>
        <rFont val="Arial"/>
        <family val="2"/>
      </rPr>
      <t>2</t>
    </r>
    <r>
      <rPr>
        <sz val="11"/>
        <color indexed="8"/>
        <rFont val="宋体"/>
        <family val="3"/>
        <charset val="134"/>
      </rPr>
      <t>厅</t>
    </r>
    <r>
      <rPr>
        <sz val="11"/>
        <color indexed="8"/>
        <rFont val="Arial"/>
        <family val="2"/>
      </rPr>
      <t>3</t>
    </r>
    <r>
      <rPr>
        <sz val="11"/>
        <color indexed="8"/>
        <rFont val="宋体"/>
        <family val="3"/>
        <charset val="134"/>
      </rPr>
      <t>卫</t>
    </r>
    <phoneticPr fontId="25" type="noConversion"/>
  </si>
  <si>
    <t>丰汇园</t>
    <phoneticPr fontId="3" type="noConversion"/>
  </si>
  <si>
    <r>
      <t>3</t>
    </r>
    <r>
      <rPr>
        <sz val="11"/>
        <color indexed="8"/>
        <rFont val="宋体"/>
        <family val="3"/>
        <charset val="134"/>
      </rPr>
      <t>室</t>
    </r>
    <r>
      <rPr>
        <sz val="11"/>
        <color indexed="8"/>
        <rFont val="Arial"/>
        <family val="2"/>
      </rPr>
      <t>3</t>
    </r>
    <r>
      <rPr>
        <sz val="11"/>
        <color indexed="8"/>
        <rFont val="宋体"/>
        <family val="3"/>
        <charset val="134"/>
      </rPr>
      <t>厅</t>
    </r>
    <r>
      <rPr>
        <sz val="11"/>
        <color indexed="8"/>
        <rFont val="Arial"/>
        <family val="2"/>
      </rPr>
      <t>2</t>
    </r>
    <r>
      <rPr>
        <sz val="11"/>
        <color indexed="8"/>
        <rFont val="宋体"/>
        <family val="3"/>
        <charset val="134"/>
      </rPr>
      <t>卫</t>
    </r>
    <phoneticPr fontId="25" type="noConversion"/>
  </si>
  <si>
    <t>中海凯旋</t>
    <phoneticPr fontId="3" type="noConversion"/>
  </si>
  <si>
    <r>
      <t>3</t>
    </r>
    <r>
      <rPr>
        <sz val="11"/>
        <rFont val="宋体"/>
        <family val="3"/>
        <charset val="134"/>
      </rPr>
      <t>室</t>
    </r>
    <r>
      <rPr>
        <sz val="11"/>
        <rFont val="Arial"/>
        <family val="2"/>
      </rPr>
      <t>2</t>
    </r>
    <r>
      <rPr>
        <sz val="11"/>
        <rFont val="宋体"/>
        <family val="3"/>
        <charset val="134"/>
      </rPr>
      <t>厅</t>
    </r>
    <r>
      <rPr>
        <sz val="11"/>
        <rFont val="Arial"/>
        <family val="2"/>
      </rPr>
      <t>2</t>
    </r>
    <r>
      <rPr>
        <sz val="11"/>
        <rFont val="宋体"/>
        <family val="3"/>
        <charset val="134"/>
      </rPr>
      <t>卫</t>
    </r>
    <phoneticPr fontId="25" type="noConversion"/>
  </si>
  <si>
    <t>50-60（含）</t>
  </si>
  <si>
    <t>收益比率</t>
  </si>
  <si>
    <t>楼层</t>
    <phoneticPr fontId="25" type="noConversion"/>
  </si>
  <si>
    <t>高区</t>
  </si>
  <si>
    <t>高区</t>
    <phoneticPr fontId="25" type="noConversion"/>
  </si>
  <si>
    <t>中区</t>
  </si>
  <si>
    <t>中区</t>
    <phoneticPr fontId="25" type="noConversion"/>
  </si>
  <si>
    <t>低区</t>
  </si>
  <si>
    <t>低区</t>
    <phoneticPr fontId="25" type="noConversion"/>
  </si>
  <si>
    <t>中区</t>
    <phoneticPr fontId="25" type="noConversion"/>
  </si>
  <si>
    <t>楼层</t>
    <phoneticPr fontId="143" type="noConversion"/>
  </si>
  <si>
    <t>低区</t>
    <phoneticPr fontId="143" type="noConversion"/>
  </si>
  <si>
    <t>低区</t>
    <phoneticPr fontId="143" type="noConversion"/>
  </si>
  <si>
    <t>中区</t>
    <phoneticPr fontId="143" type="noConversion"/>
  </si>
  <si>
    <t>楼层</t>
    <phoneticPr fontId="3" type="noConversion"/>
  </si>
  <si>
    <t>高区</t>
    <phoneticPr fontId="25" type="noConversion"/>
  </si>
  <si>
    <t>中区</t>
    <phoneticPr fontId="25" type="noConversion"/>
  </si>
  <si>
    <t>低区</t>
    <phoneticPr fontId="25" type="noConversion"/>
  </si>
  <si>
    <t>住宅56年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</si>
</sst>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13"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6" fillId="0" borderId="10"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06" fillId="2" borderId="23" xfId="0" applyNumberFormat="1" applyFont="1" applyFill="1" applyBorder="1" applyAlignment="1" applyProtection="1">
      <alignment horizontal="center" vertical="center" wrapText="1"/>
      <protection locked="0"/>
    </xf>
    <xf numFmtId="0" fontId="131"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7" fontId="63" fillId="0" borderId="1" xfId="0" applyNumberFormat="1" applyFont="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79"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15</xdr:col>
      <xdr:colOff>417763</xdr:colOff>
      <xdr:row>48</xdr:row>
      <xdr:rowOff>75634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71900"/>
          <a:ext cx="10704763" cy="4533334"/>
        </a:xfrm>
        <a:prstGeom prst="rect">
          <a:avLst/>
        </a:prstGeom>
      </xdr:spPr>
    </xdr:pic>
    <xdr:clientData/>
  </xdr:twoCellAnchor>
  <xdr:twoCellAnchor editAs="oneCell">
    <xdr:from>
      <xdr:col>0</xdr:col>
      <xdr:colOff>0</xdr:colOff>
      <xdr:row>0</xdr:row>
      <xdr:rowOff>0</xdr:rowOff>
    </xdr:from>
    <xdr:to>
      <xdr:col>8</xdr:col>
      <xdr:colOff>561975</xdr:colOff>
      <xdr:row>15</xdr:row>
      <xdr:rowOff>13695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6048375" cy="2585445"/>
        </a:xfrm>
        <a:prstGeom prst="rect">
          <a:avLst/>
        </a:prstGeom>
      </xdr:spPr>
    </xdr:pic>
    <xdr:clientData/>
  </xdr:twoCellAnchor>
  <xdr:twoCellAnchor editAs="oneCell">
    <xdr:from>
      <xdr:col>8</xdr:col>
      <xdr:colOff>523875</xdr:colOff>
      <xdr:row>0</xdr:row>
      <xdr:rowOff>66675</xdr:rowOff>
    </xdr:from>
    <xdr:to>
      <xdr:col>20</xdr:col>
      <xdr:colOff>675228</xdr:colOff>
      <xdr:row>15</xdr:row>
      <xdr:rowOff>85401</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66675"/>
          <a:ext cx="8380953" cy="2590476"/>
        </a:xfrm>
        <a:prstGeom prst="rect">
          <a:avLst/>
        </a:prstGeom>
      </xdr:spPr>
    </xdr:pic>
    <xdr:clientData/>
  </xdr:twoCellAnchor>
  <xdr:twoCellAnchor editAs="oneCell">
    <xdr:from>
      <xdr:col>21</xdr:col>
      <xdr:colOff>0</xdr:colOff>
      <xdr:row>0</xdr:row>
      <xdr:rowOff>0</xdr:rowOff>
    </xdr:from>
    <xdr:to>
      <xdr:col>29</xdr:col>
      <xdr:colOff>427886</xdr:colOff>
      <xdr:row>14</xdr:row>
      <xdr:rowOff>47319</xdr:rowOff>
    </xdr:to>
    <xdr:pic>
      <xdr:nvPicPr>
        <xdr:cNvPr id="5" name="图片 4"/>
        <xdr:cNvPicPr>
          <a:picLocks noChangeAspect="1"/>
        </xdr:cNvPicPr>
      </xdr:nvPicPr>
      <xdr:blipFill>
        <a:blip xmlns:r="http://schemas.openxmlformats.org/officeDocument/2006/relationships" r:embed="rId4"/>
        <a:stretch>
          <a:fillRect/>
        </a:stretch>
      </xdr:blipFill>
      <xdr:spPr>
        <a:xfrm>
          <a:off x="14401800" y="0"/>
          <a:ext cx="5914286" cy="2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北京市西城区真武庙路二条10号楼1层7单元102及103共计两套商业服务用房房地产抵押价值预评估</v>
      </c>
    </row>
    <row r="3" spans="1:2" s="1596" customFormat="1">
      <c r="A3" s="1594" t="s">
        <v>1222</v>
      </c>
      <c r="B3" s="1595" t="str">
        <f>'预评函-封皮'!B40</f>
        <v>北京世纪润丰源资产管理有限公司</v>
      </c>
    </row>
    <row r="4" spans="1:2" s="1596" customFormat="1">
      <c r="A4" s="1594" t="s">
        <v>1223</v>
      </c>
      <c r="B4" s="1595" t="str">
        <f ca="1">'预评函-封皮'!B46</f>
        <v>吴薇（注册号：1419970001)、王鹏（注册号：1120050019)</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受贵公司委托，我公司对北京市西城区真武庙路二条10号楼1层7单元102及103共计两套商业服务用房房地产抵押价值进行了预评估。</v>
      </c>
    </row>
    <row r="7" spans="1:2" s="1596" customFormat="1">
      <c r="A7" s="1594" t="s">
        <v>1265</v>
      </c>
      <c r="B7" s="1595" t="str">
        <f>'预评函-1'!A7</f>
        <v>估价对象为北京市西城区真武庙路二条10号楼1层7单元102及103共计两套商业服务用房房地产，为北京世纪润丰源资产管理有限公司所有。根据，估价对象（分摊）出让国有建设用地使用权面积为0平方米。根据《房屋所有权证》[X京房权证西字第140276号]等20本，估价对象建筑面积为88.84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西城区真武庙路二条10号楼1层7单元102及103共计两套商业服务用房房地产,属北京世纪润丰源资产管理有限公司开发建设的居住项目，该项目尚在开发建设中。根据，估价对象（分摊）出让国有建设用地使用权面积为0平方米。根据《房屋所有权证》[X京房权证西字第140276号]等20本，估价对象规划建筑面积为88.84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为估价委托人在向中国民生银行股份有限公司北京分行办理贷款手续过程中，确定房地产抵押贷款额度提供参考依据而评估房地产抵押价值。</v>
      </c>
    </row>
    <row r="12" spans="1:2" s="1596" customFormat="1">
      <c r="A12" s="1594" t="s">
        <v>1227</v>
      </c>
      <c r="B12" s="1595" t="str">
        <f>'预评函-1'!A15</f>
        <v>2017年11月1日（评估专业人员实地查勘之日）</v>
      </c>
    </row>
    <row r="13" spans="1:2" s="1596" customFormat="1">
      <c r="A13" s="1594" t="s">
        <v>1228</v>
      </c>
      <c r="B13" s="1595" t="str">
        <f>'预评函-1'!A18</f>
        <v>本次估价的“房地产价值”是指在正常市场情况下，在价值时点2017年11月1日，估价对象规划用途为住宅，土地取得方式为出让，出让国有建设用地使用权剩余土地使用年限为住宅56年，假定未设立法定优先受偿款下的房地产市场价值。</v>
      </c>
    </row>
    <row r="14" spans="1:2" s="1596" customFormat="1">
      <c r="A14" s="1594" t="s">
        <v>1229</v>
      </c>
      <c r="B14" s="1595" t="str">
        <f>'预评函-1'!A19</f>
        <v>其中，“出让国有建设用地使用权价值”是指估价对象用途为住宅，实际开发程度为宗地红线外“七通”（即通路、通电、通讯、通上水、通下水、通热、燃气）、红线内场地平整条件下，剩余土地使用年限为住宅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本次评估采用的主估价方法为比较法和收益法。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1001</v>
      </c>
    </row>
    <row r="21" spans="1:2" s="1596" customFormat="1">
      <c r="A21" s="1594" t="s">
        <v>1236</v>
      </c>
      <c r="B21" s="1595">
        <f ca="1">'预评函-2'!D7</f>
        <v>112674</v>
      </c>
    </row>
    <row r="22" spans="1:2" s="1596" customFormat="1">
      <c r="A22" s="1594" t="s">
        <v>1237</v>
      </c>
      <c r="B22" s="1595" t="str">
        <f ca="1">'预评函-2'!D6</f>
        <v>壹仟零壹万元整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1001</v>
      </c>
    </row>
    <row r="31" spans="1:2" s="1596" customFormat="1">
      <c r="A31" s="1594" t="s">
        <v>1275</v>
      </c>
      <c r="B31" s="1595">
        <f ca="1">'预评函-2'!D15</f>
        <v>112674</v>
      </c>
    </row>
    <row r="32" spans="1:2" s="1596" customFormat="1">
      <c r="A32" s="1594" t="s">
        <v>1242</v>
      </c>
      <c r="B32" s="1595" t="str">
        <f ca="1">'预评函-2'!D14</f>
        <v>壹仟零壹万元整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北京市西城区真武庙路二条10号楼1层7单元102及103共计两套商业服务用房房地产</v>
      </c>
    </row>
    <row r="42" spans="1:2" s="1596" customFormat="1">
      <c r="A42" s="1594" t="s">
        <v>1289</v>
      </c>
      <c r="B42" s="1595" t="str">
        <f>'预评函-3'!B2</f>
        <v>建筑面积</v>
      </c>
    </row>
    <row r="43" spans="1:2" s="1596" customFormat="1">
      <c r="A43" s="1594" t="s">
        <v>1290</v>
      </c>
      <c r="B43" s="1595">
        <f>'预评函-3'!B4</f>
        <v>88.84</v>
      </c>
    </row>
    <row r="44" spans="1:2" s="1596" customFormat="1">
      <c r="A44" s="1594" t="s">
        <v>1274</v>
      </c>
      <c r="B44" s="1595" t="str">
        <f>'预评函-3'!C2</f>
        <v>(分摊)土地面积</v>
      </c>
    </row>
    <row r="45" spans="1:2" s="1596" customFormat="1">
      <c r="A45" s="1594" t="s">
        <v>1246</v>
      </c>
      <c r="B45" s="1595">
        <f>'预评函-3'!C4</f>
        <v>0</v>
      </c>
    </row>
    <row r="46" spans="1:2" s="1596" customFormat="1">
      <c r="A46" s="1594" t="s">
        <v>1272</v>
      </c>
      <c r="B46" s="1595" t="str">
        <f>'预评函-3'!D2</f>
        <v>出让国有建设用地使用权价值</v>
      </c>
    </row>
    <row r="47" spans="1:2" s="1596" customFormat="1">
      <c r="A47" s="1594" t="s">
        <v>1247</v>
      </c>
      <c r="B47" s="1595">
        <f ca="1">'预评函-3'!D4</f>
        <v>778</v>
      </c>
    </row>
    <row r="48" spans="1:2" s="1596" customFormat="1">
      <c r="A48" s="1594" t="s">
        <v>1248</v>
      </c>
      <c r="B48" s="1595">
        <f ca="1">'预评函-3'!E4</f>
        <v>87573</v>
      </c>
    </row>
    <row r="49" spans="1:2" s="1596" customFormat="1">
      <c r="A49" s="1594" t="s">
        <v>1249</v>
      </c>
      <c r="B49" s="1595" t="str">
        <f ca="1">'预评函-3'!D5</f>
        <v>柒佰柒拾捌万元整</v>
      </c>
    </row>
    <row r="50" spans="1:2" s="1596" customFormat="1">
      <c r="A50" s="1594" t="s">
        <v>1273</v>
      </c>
      <c r="B50" s="1595" t="str">
        <f>'预评函-3'!F2</f>
        <v>在建建筑物价值</v>
      </c>
    </row>
    <row r="51" spans="1:2" s="1596" customFormat="1">
      <c r="A51" s="1594" t="s">
        <v>1250</v>
      </c>
      <c r="B51" s="1595">
        <f ca="1">'预评函-3'!F4</f>
        <v>223</v>
      </c>
    </row>
    <row r="52" spans="1:2" s="1596" customFormat="1">
      <c r="A52" s="1594" t="s">
        <v>1251</v>
      </c>
      <c r="B52" s="1595">
        <f ca="1">'预评函-3'!G4</f>
        <v>25101</v>
      </c>
    </row>
    <row r="53" spans="1:2" s="1596" customFormat="1">
      <c r="A53" s="1594" t="s">
        <v>1279</v>
      </c>
      <c r="B53" s="1595" t="str">
        <f ca="1">'预评函-3'!F5</f>
        <v>贰佰贰拾叁万元整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吴薇</v>
      </c>
    </row>
    <row r="71" spans="1:2">
      <c r="A71" s="1594" t="s">
        <v>1262</v>
      </c>
      <c r="B71" s="1595">
        <f ca="1">'预评函-4'!B4</f>
        <v>1419970001</v>
      </c>
    </row>
    <row r="72" spans="1:2">
      <c r="A72" s="1594" t="s">
        <v>1263</v>
      </c>
      <c r="B72" s="1603" t="str">
        <f>'预评函-4'!A5</f>
        <v>王鹏</v>
      </c>
    </row>
    <row r="73" spans="1:2" s="1590" customFormat="1" ht="15" thickBot="1">
      <c r="A73" s="1597" t="s">
        <v>1264</v>
      </c>
      <c r="B73" s="1598">
        <f ca="1">'预评函-4'!B5</f>
        <v>1120050019</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为估价委托人在向中国民生银行股份有限公司北京分行办理贷款手续过程中，确定房地产抵押贷款额度提供参考依据而评估房地产抵押价值。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润丰源资产管理有限公司拟使用北京市西城区真武庙路二条10号楼1层7单元102及103共计两套商业服务用房房地产作为抵押担保物，向中国民生银行股份有限公司北京分行办理贷款手续。中国民生银行股份有限公司北京分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1282</v>
      </c>
    </row>
    <row r="55" spans="1:4">
      <c r="A55" s="3003"/>
      <c r="B55" s="2025" t="s">
        <v>865</v>
      </c>
      <c r="C55" s="2022" t="s">
        <v>1283</v>
      </c>
    </row>
    <row r="56" spans="1:4">
      <c r="A56" s="3003"/>
      <c r="B56" s="2025" t="s">
        <v>866</v>
      </c>
      <c r="C56" s="2022" t="s">
        <v>1287</v>
      </c>
    </row>
    <row r="57" spans="1:4">
      <c r="A57" s="3003"/>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5" sqref="D1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1778</v>
      </c>
      <c r="B1" s="3004" t="str">
        <f>IF(B10="北京市","北京市",C10)&amp;F10&amp;IF(结果表!G1="在建","出让国有建设用地使用权及在建建筑物",IF(结果表!G1="土地","出让国有建设用地使用权",))&amp;B9&amp;"预评估"</f>
        <v>北京市西城区真武庙路二条10号楼1层7单元102及103共计两套商业服务用房房地产抵押价值预评估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北京市西城区真武庙路二条10号楼1层7单元102及103共计两套商业服务用房房地产抵押价值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北京市西城区真武庙路二条10号楼1层7单元102及103共计两套商业服务用房房地产</v>
      </c>
    </row>
    <row r="3" spans="1:19" ht="18" customHeight="1">
      <c r="A3" s="2038" t="s">
        <v>1780</v>
      </c>
      <c r="B3" s="2039">
        <v>43040</v>
      </c>
      <c r="C3" s="2040" t="s">
        <v>1781</v>
      </c>
      <c r="D3" s="2039">
        <v>43040</v>
      </c>
      <c r="E3" s="2029"/>
      <c r="F3" s="2029"/>
      <c r="G3" s="2029"/>
      <c r="H3" s="2029"/>
      <c r="I3" s="2029"/>
      <c r="J3" s="2029"/>
      <c r="K3" s="2030"/>
      <c r="L3" s="2031"/>
      <c r="M3" s="2031"/>
      <c r="N3" s="2032"/>
      <c r="O3" s="2033"/>
      <c r="P3" s="2032"/>
      <c r="Q3" s="2032"/>
      <c r="R3" s="2032"/>
      <c r="S3" s="2034"/>
    </row>
    <row r="4" spans="1:19" ht="18" customHeight="1" thickBot="1">
      <c r="A4" s="2041" t="s">
        <v>1782</v>
      </c>
      <c r="B4" s="2042" t="s">
        <v>3037</v>
      </c>
      <c r="C4" s="1039">
        <f ca="1">SUMIF(注册房地产估价师,B4,估价师及机构信息!B3:B24)</f>
        <v>1419970001</v>
      </c>
      <c r="D4" s="2042" t="s">
        <v>3038</v>
      </c>
      <c r="E4" s="1040">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吴薇（注册号：1419970001)、王鹏（注册号：1120050019)</v>
      </c>
      <c r="L4" s="2031"/>
      <c r="M4" s="2031"/>
      <c r="N4" s="2032"/>
      <c r="O4" s="2033"/>
      <c r="P4" s="2032"/>
      <c r="Q4" s="2032"/>
      <c r="R4" s="2032"/>
      <c r="S4" s="2034"/>
    </row>
    <row r="5" spans="1:19" ht="18" customHeight="1" thickTop="1">
      <c r="A5" s="2047" t="s">
        <v>1783</v>
      </c>
      <c r="B5" s="2929"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30" t="s">
        <v>3043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054" t="str">
        <f>B5</f>
        <v>北京世纪润丰源资产管理有限公司</v>
      </c>
      <c r="C7" s="2051"/>
      <c r="D7" s="2052"/>
      <c r="E7" s="2037"/>
      <c r="F7" s="2045"/>
      <c r="G7" s="2045"/>
      <c r="H7" s="2045"/>
      <c r="I7" s="2045"/>
      <c r="J7" s="2045"/>
      <c r="K7" s="2055"/>
      <c r="L7" s="2031"/>
      <c r="M7" s="2031"/>
      <c r="N7" s="2032"/>
      <c r="O7" s="2033"/>
      <c r="P7" s="2032"/>
      <c r="Q7" s="2032"/>
      <c r="R7" s="2032"/>
    </row>
    <row r="8" spans="1:19" ht="18" customHeight="1">
      <c r="A8" s="2050" t="s">
        <v>1786</v>
      </c>
      <c r="B8" s="2056" t="s">
        <v>3039</v>
      </c>
      <c r="C8" s="2057"/>
      <c r="D8" s="3007" t="s">
        <v>1787</v>
      </c>
      <c r="E8" s="2058" t="s">
        <v>3040</v>
      </c>
      <c r="F8" s="2059"/>
      <c r="G8" s="2029"/>
      <c r="H8" s="2029"/>
      <c r="I8" s="2029"/>
      <c r="J8" s="2045"/>
      <c r="K8" s="2046"/>
      <c r="L8" s="2031"/>
      <c r="M8" s="2031"/>
      <c r="N8" s="2032"/>
      <c r="O8" s="2033"/>
      <c r="P8" s="2032"/>
      <c r="Q8" s="2032"/>
      <c r="R8" s="2032"/>
    </row>
    <row r="9" spans="1:19" ht="18" customHeight="1" thickBot="1">
      <c r="A9" s="2043" t="s">
        <v>1788</v>
      </c>
      <c r="B9" s="2060" t="s">
        <v>3040</v>
      </c>
      <c r="C9" s="2061"/>
      <c r="D9" s="3008"/>
      <c r="E9" s="2060" t="s">
        <v>70</v>
      </c>
      <c r="F9" s="2062"/>
      <c r="G9" s="2063"/>
      <c r="H9" s="2063"/>
      <c r="I9" s="2063"/>
      <c r="J9" s="2045"/>
      <c r="K9" s="2055"/>
      <c r="L9" s="2031"/>
      <c r="M9" s="2031"/>
      <c r="N9" s="2032"/>
      <c r="O9" s="2033"/>
      <c r="P9" s="2032"/>
      <c r="Q9" s="2032"/>
      <c r="R9" s="2032"/>
    </row>
    <row r="10" spans="1:19" ht="18" customHeight="1" thickTop="1">
      <c r="A10" s="2064" t="s">
        <v>1789</v>
      </c>
      <c r="B10" s="2065" t="s">
        <v>3041</v>
      </c>
      <c r="C10" s="2066"/>
      <c r="D10" s="2049"/>
      <c r="E10" s="2067" t="s">
        <v>1790</v>
      </c>
      <c r="F10" s="2068" t="s">
        <v>3044</v>
      </c>
      <c r="G10" s="2069"/>
      <c r="H10" s="2070"/>
      <c r="I10" s="2049"/>
      <c r="J10" s="2045"/>
      <c r="K10" s="2055"/>
      <c r="L10" s="2031"/>
      <c r="M10" s="2031"/>
      <c r="N10" s="2032"/>
      <c r="O10" s="2033"/>
      <c r="P10" s="2032"/>
      <c r="Q10" s="2032"/>
      <c r="R10" s="2032"/>
    </row>
    <row r="11" spans="1:19" ht="18" customHeight="1">
      <c r="A11" s="2071" t="s">
        <v>1791</v>
      </c>
      <c r="B11" s="2072" t="s">
        <v>3045</v>
      </c>
      <c r="C11" s="2073" t="str">
        <f>B5</f>
        <v>北京世纪润丰源资产管理有限公司</v>
      </c>
      <c r="D11" s="2074"/>
      <c r="E11" s="2045"/>
      <c r="F11" s="2045"/>
      <c r="G11" s="2045"/>
      <c r="H11" s="2045"/>
      <c r="I11" s="2045"/>
      <c r="J11" s="2045"/>
      <c r="K11" s="2055"/>
      <c r="L11" s="2031"/>
      <c r="M11" s="2031"/>
      <c r="N11" s="2032"/>
      <c r="O11" s="2033"/>
      <c r="P11" s="2032"/>
      <c r="Q11" s="2032"/>
      <c r="R11" s="2032"/>
    </row>
    <row r="12" spans="1:19" ht="18" customHeight="1">
      <c r="A12" s="2075" t="s">
        <v>1792</v>
      </c>
      <c r="B12" s="2072" t="s">
        <v>3084</v>
      </c>
      <c r="C12" s="2076" t="s">
        <v>1793</v>
      </c>
      <c r="D12" s="2077" t="s">
        <v>1794</v>
      </c>
      <c r="E12" s="2077" t="s">
        <v>1795</v>
      </c>
      <c r="F12" s="2077" t="s">
        <v>1796</v>
      </c>
      <c r="G12" s="2077" t="s">
        <v>1797</v>
      </c>
      <c r="H12" s="2077" t="s">
        <v>1798</v>
      </c>
      <c r="I12" s="2077" t="s">
        <v>1799</v>
      </c>
      <c r="J12" s="2045"/>
      <c r="K12" s="2055"/>
      <c r="L12" s="2031"/>
      <c r="M12" s="2031"/>
      <c r="N12" s="2032"/>
      <c r="O12" s="2033"/>
      <c r="P12" s="2032"/>
      <c r="Q12" s="2032"/>
      <c r="R12" s="2032"/>
    </row>
    <row r="13" spans="1:19" ht="18" customHeight="1">
      <c r="A13" s="2078"/>
      <c r="B13" s="2079"/>
      <c r="C13" s="2080" t="s">
        <v>1800</v>
      </c>
      <c r="D13" s="2081">
        <v>63481</v>
      </c>
      <c r="E13" s="2081"/>
      <c r="F13" s="2081"/>
      <c r="G13" s="2081"/>
      <c r="H13" s="2081"/>
      <c r="I13" s="1049"/>
      <c r="J13" s="2045"/>
      <c r="K13" s="2055"/>
      <c r="L13" s="2031"/>
      <c r="M13" s="2031"/>
      <c r="N13" s="2032"/>
      <c r="O13" s="2033"/>
      <c r="P13" s="2032"/>
      <c r="Q13" s="2032"/>
      <c r="R13" s="2032"/>
    </row>
    <row r="14" spans="1:19" ht="18" customHeight="1">
      <c r="A14" s="2078"/>
      <c r="B14" s="2079"/>
      <c r="C14" s="2080" t="s">
        <v>1801</v>
      </c>
      <c r="D14" s="1052">
        <v>70</v>
      </c>
      <c r="E14" s="1052"/>
      <c r="F14" s="1052"/>
      <c r="G14" s="1052"/>
      <c r="H14" s="1052"/>
      <c r="I14" s="1052"/>
      <c r="J14" s="2045"/>
      <c r="K14" s="2082"/>
      <c r="L14" s="2031"/>
      <c r="M14" s="2031"/>
      <c r="N14" s="2032"/>
      <c r="O14" s="2033"/>
      <c r="P14" s="2032"/>
      <c r="Q14" s="2032"/>
      <c r="R14" s="2032"/>
    </row>
    <row r="15" spans="1:19" ht="18" customHeight="1">
      <c r="A15" s="2064"/>
      <c r="B15" s="2083"/>
      <c r="C15" s="2080" t="s">
        <v>1802</v>
      </c>
      <c r="D15" s="1051">
        <f>IF(B12="出让",IF(D13="","",ROUNDDOWN(MIN((D13-$D$3)/365,D14),2)),D14)</f>
        <v>56</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5"/>
      <c r="K15" s="2084"/>
      <c r="L15" s="2085"/>
      <c r="M15" s="2085"/>
      <c r="N15" s="2086"/>
      <c r="O15" s="2085"/>
      <c r="P15" s="2086"/>
      <c r="Q15" s="2032"/>
      <c r="R15" s="2032"/>
    </row>
    <row r="16" spans="1:19" ht="30.75" customHeight="1">
      <c r="A16" s="2067" t="s">
        <v>1803</v>
      </c>
      <c r="B16" s="3014" t="s">
        <v>3047</v>
      </c>
      <c r="C16" s="3015"/>
      <c r="D16" s="3016"/>
      <c r="E16" s="2087" t="s">
        <v>1804</v>
      </c>
      <c r="F16" s="3017" t="s">
        <v>3171</v>
      </c>
      <c r="G16" s="3018"/>
      <c r="H16" s="3018"/>
      <c r="I16" s="3019"/>
      <c r="J16" s="2032"/>
      <c r="K16" s="2084"/>
      <c r="L16" s="2085"/>
      <c r="M16" s="2085"/>
      <c r="N16" s="2086"/>
      <c r="O16" s="2085"/>
      <c r="P16" s="2086"/>
      <c r="Q16" s="2032"/>
      <c r="R16" s="2032"/>
    </row>
    <row r="17" spans="1:22" ht="18" customHeight="1">
      <c r="A17" s="2088" t="s">
        <v>1805</v>
      </c>
      <c r="B17" s="2038" t="s">
        <v>1806</v>
      </c>
      <c r="C17" s="1056">
        <f>'数据-汇总表'!E3</f>
        <v>88.84</v>
      </c>
      <c r="D17" s="2089" t="s">
        <v>1807</v>
      </c>
      <c r="E17" s="3020" t="s">
        <v>3048</v>
      </c>
      <c r="F17" s="3021"/>
      <c r="G17" s="3021"/>
      <c r="H17" s="3021"/>
      <c r="I17" s="3022"/>
      <c r="J17" s="2032"/>
      <c r="K17" s="2090"/>
      <c r="L17" s="2085"/>
      <c r="M17" s="2085"/>
      <c r="N17" s="2086"/>
      <c r="O17" s="2085"/>
      <c r="P17" s="2086"/>
      <c r="Q17" s="2032"/>
      <c r="R17" s="2032"/>
      <c r="S17" s="2032"/>
      <c r="T17" s="2032"/>
      <c r="U17" s="2032"/>
      <c r="V17" s="2032"/>
    </row>
    <row r="18" spans="1:22" ht="36" customHeight="1" thickBot="1">
      <c r="A18" s="2091" t="s">
        <v>70</v>
      </c>
      <c r="B18" s="2041" t="s">
        <v>1808</v>
      </c>
      <c r="C18" s="1446">
        <f>'数据-汇总表'!D3</f>
        <v>0</v>
      </c>
      <c r="D18" s="2092" t="s">
        <v>1807</v>
      </c>
      <c r="E18" s="3023"/>
      <c r="F18" s="3024"/>
      <c r="G18" s="3024"/>
      <c r="H18" s="3024"/>
      <c r="I18" s="3025"/>
      <c r="J18" s="2032"/>
      <c r="K18" s="2090"/>
      <c r="L18" s="2085"/>
      <c r="M18" s="2085"/>
      <c r="N18" s="2086"/>
      <c r="O18" s="2085"/>
      <c r="P18" s="2086"/>
      <c r="Q18" s="2032"/>
      <c r="R18" s="2032"/>
      <c r="S18" s="2032"/>
      <c r="T18" s="2032"/>
      <c r="U18" s="2032"/>
      <c r="V18" s="2032"/>
    </row>
    <row r="19" spans="1:22" ht="37.5" customHeight="1" thickTop="1" thickBot="1">
      <c r="A19" s="374" t="s">
        <v>1809</v>
      </c>
      <c r="B19" s="353" t="s">
        <v>1810</v>
      </c>
      <c r="C19" s="2093" t="s">
        <v>3049</v>
      </c>
      <c r="D19" s="2094" t="s">
        <v>1811</v>
      </c>
      <c r="E19" s="2095" t="s">
        <v>70</v>
      </c>
      <c r="F19" s="2096" t="str">
        <f>IF(AND(C19="是",E19="否"),"是否提供他项权证或相关说明","")</f>
        <v/>
      </c>
      <c r="G19" s="2097" t="s">
        <v>70</v>
      </c>
      <c r="H19" s="2045"/>
      <c r="I19" s="2045"/>
      <c r="J19" s="2045"/>
      <c r="K19" s="2055"/>
      <c r="L19" s="2031"/>
      <c r="M19" s="2031"/>
      <c r="N19" s="2086"/>
      <c r="O19" s="2085"/>
      <c r="P19" s="2086"/>
      <c r="Q19" s="2032"/>
      <c r="R19" s="2032"/>
      <c r="S19" s="2032"/>
      <c r="T19" s="2032"/>
      <c r="U19" s="2032"/>
      <c r="V19" s="2032"/>
    </row>
    <row r="20" spans="1:22" ht="18" customHeight="1">
      <c r="A20" s="2098" t="s">
        <v>1812</v>
      </c>
      <c r="B20" s="3010" t="s">
        <v>1813</v>
      </c>
      <c r="C20" s="3011"/>
      <c r="D20" s="3012" t="s">
        <v>1814</v>
      </c>
      <c r="E20" s="3013"/>
      <c r="F20" s="2099" t="s">
        <v>1815</v>
      </c>
      <c r="G20" s="2045"/>
      <c r="H20" s="2045"/>
      <c r="I20" s="2045"/>
      <c r="J20" s="2045"/>
      <c r="K20" s="3009" t="s">
        <v>1816</v>
      </c>
      <c r="L20" s="747"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1"/>
      <c r="N20" s="2086"/>
      <c r="O20" s="2085"/>
      <c r="P20" s="2086"/>
      <c r="Q20" s="2032"/>
      <c r="R20" s="2032"/>
      <c r="S20" s="2032"/>
      <c r="T20" s="2032"/>
      <c r="U20" s="2032"/>
      <c r="V20" s="2032"/>
    </row>
    <row r="21" spans="1:22" ht="24.75" customHeight="1">
      <c r="A21" s="2098"/>
      <c r="B21" s="2100" t="s">
        <v>1817</v>
      </c>
      <c r="C21" s="2101" t="s">
        <v>3050</v>
      </c>
      <c r="D21" s="2102"/>
      <c r="E21" s="2103" t="s">
        <v>70</v>
      </c>
      <c r="F21" s="2104"/>
      <c r="G21" s="2045"/>
      <c r="H21" s="2045"/>
      <c r="I21" s="2045"/>
      <c r="J21" s="2045"/>
      <c r="K21" s="300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70</v>
      </c>
      <c r="C22" s="2101" t="s">
        <v>70</v>
      </c>
      <c r="D22" s="2029"/>
      <c r="E22" s="2029"/>
      <c r="F22" s="2106"/>
      <c r="G22" s="2045"/>
      <c r="H22" s="2045"/>
      <c r="I22" s="2045"/>
      <c r="J22" s="2045"/>
      <c r="K22" s="300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4" t="s">
        <v>1819</v>
      </c>
      <c r="C23" s="2108"/>
      <c r="D23" s="2109" t="s">
        <v>1819</v>
      </c>
      <c r="E23" s="2110"/>
      <c r="F23" s="2106"/>
      <c r="G23" s="2045"/>
      <c r="H23" s="2045"/>
      <c r="I23" s="2045"/>
      <c r="J23" s="2045"/>
      <c r="K23" s="2111"/>
      <c r="L23" s="747"/>
      <c r="M23" s="2031"/>
      <c r="N23" s="2086"/>
      <c r="O23" s="2085"/>
      <c r="P23" s="2086"/>
      <c r="Q23" s="2032"/>
      <c r="R23" s="2032"/>
      <c r="S23" s="2032"/>
      <c r="T23" s="2032"/>
      <c r="U23" s="2032"/>
      <c r="V23" s="2032"/>
    </row>
    <row r="24" spans="1:22" ht="18" customHeight="1">
      <c r="A24" s="2112"/>
      <c r="B24" s="184" t="s">
        <v>1820</v>
      </c>
      <c r="C24" s="2113"/>
      <c r="D24" s="2107" t="s">
        <v>1820</v>
      </c>
      <c r="E24" s="2114"/>
      <c r="F24" s="2106"/>
      <c r="G24" s="2045"/>
      <c r="H24" s="2045"/>
      <c r="I24" s="2045"/>
      <c r="J24" s="2045"/>
      <c r="K24" s="2111"/>
      <c r="L24" s="747"/>
      <c r="M24" s="2031"/>
      <c r="N24" s="2086"/>
      <c r="O24" s="2085"/>
      <c r="P24" s="2086"/>
      <c r="Q24" s="2032"/>
      <c r="R24" s="2032"/>
      <c r="S24" s="2032"/>
      <c r="T24" s="2032"/>
      <c r="U24" s="2032"/>
      <c r="V24" s="2032"/>
    </row>
    <row r="25" spans="1:22" ht="18" customHeight="1">
      <c r="A25" s="2112"/>
      <c r="B25" s="184" t="s">
        <v>1821</v>
      </c>
      <c r="C25" s="2113"/>
      <c r="D25" s="2107" t="s">
        <v>1821</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27" t="s">
        <v>1824</v>
      </c>
      <c r="B27" s="2064" t="s">
        <v>1825</v>
      </c>
      <c r="C27" s="2121" t="s">
        <v>3051</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27"/>
      <c r="B28" s="2038" t="s">
        <v>1826</v>
      </c>
      <c r="C28" s="2123" t="s">
        <v>3052</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27"/>
      <c r="B29" s="2038" t="s">
        <v>1827</v>
      </c>
      <c r="C29" s="2126" t="s">
        <v>3049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28"/>
      <c r="B30" s="2038" t="s">
        <v>1828</v>
      </c>
      <c r="C30" s="3029"/>
      <c r="D30" s="3030"/>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31" t="s">
        <v>1829</v>
      </c>
      <c r="B31" s="2128" t="s">
        <v>3053</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32"/>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32"/>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5" t="s">
        <v>3054</v>
      </c>
      <c r="C34" s="2135" t="s">
        <v>3055</v>
      </c>
      <c r="D34" s="2135" t="s">
        <v>3056</v>
      </c>
      <c r="E34" s="2135" t="s">
        <v>3057</v>
      </c>
      <c r="F34" s="2135" t="s">
        <v>3058</v>
      </c>
      <c r="G34" s="2135" t="s">
        <v>3059</v>
      </c>
      <c r="H34" s="2135" t="s">
        <v>3060</v>
      </c>
      <c r="I34" s="2045"/>
      <c r="J34" s="2045"/>
      <c r="K34" s="1798">
        <f>COUNTIF(B34:H34,"——")</f>
        <v>0</v>
      </c>
      <c r="L34" s="2076" t="s">
        <v>1831</v>
      </c>
      <c r="M34" s="2076" t="s">
        <v>1832</v>
      </c>
      <c r="N34" s="2076" t="s">
        <v>1833</v>
      </c>
      <c r="O34" s="2076" t="s">
        <v>1834</v>
      </c>
      <c r="P34" s="2076" t="s">
        <v>1835</v>
      </c>
      <c r="Q34" s="2076" t="s">
        <v>1836</v>
      </c>
      <c r="R34" s="2076" t="s">
        <v>1837</v>
      </c>
      <c r="S34" s="3026" t="s">
        <v>1838</v>
      </c>
      <c r="T34" s="2136" t="str">
        <f>NUMBERSTRING(7-K34,1)&amp;"通"</f>
        <v>七通</v>
      </c>
      <c r="U34" s="2032"/>
      <c r="V34" s="2032"/>
    </row>
    <row r="35" spans="1:22" ht="18" customHeight="1">
      <c r="A35" s="2137"/>
      <c r="B35" s="3033" t="s">
        <v>1839</v>
      </c>
      <c r="C35" s="3033"/>
      <c r="D35" s="3033"/>
      <c r="E35" s="3033"/>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6"/>
      <c r="T35" s="48" t="str">
        <f>IF(T34="一通",L35,IF(T34="二通",M35,IF(T34="三通",N35,IF(T34="四通",O35,IF(T34="五通",P35,IF(T34="六通",Q35,R35))))))</f>
        <v>通路、通电、通讯、通上水、通下水、通热、燃气</v>
      </c>
      <c r="U35" s="2032"/>
      <c r="V35" s="2032"/>
    </row>
    <row r="36" spans="1:22" ht="18" customHeight="1">
      <c r="A36" s="2139"/>
      <c r="B36" s="2138" t="s">
        <v>1840</v>
      </c>
      <c r="C36" s="2138" t="s">
        <v>1841</v>
      </c>
      <c r="D36" s="2138" t="s">
        <v>1842</v>
      </c>
      <c r="E36" s="2138" t="s">
        <v>1843</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1844</v>
      </c>
      <c r="B37" s="2142"/>
      <c r="C37" s="2142"/>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1845</v>
      </c>
      <c r="B38" s="2144"/>
      <c r="C38" s="2144"/>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7"/>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32"/>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1871</v>
      </c>
      <c r="AZ2" s="1272"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1843.1299999999999</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1843.1299999999999</v>
      </c>
      <c r="H5" s="16">
        <f t="shared" ref="H5:AT5" si="0">SUM(H13:H656)</f>
        <v>1843.1299999999999</v>
      </c>
      <c r="I5" s="16">
        <f t="shared" si="0"/>
        <v>1843.1299999999999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88.84</v>
      </c>
      <c r="BA5" s="18">
        <f t="shared" si="1"/>
        <v>88.84</v>
      </c>
      <c r="BB5" s="18">
        <f t="shared" si="1"/>
        <v>88.84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3" t="s">
        <v>1890</v>
      </c>
      <c r="AD8" s="2190"/>
      <c r="AE8" s="2182"/>
      <c r="AF8" s="1821"/>
      <c r="AG8" s="1821"/>
      <c r="AH8" s="1821"/>
      <c r="AI8" s="1821"/>
      <c r="AJ8" s="1821"/>
      <c r="AK8" s="1821"/>
      <c r="AL8" s="1821"/>
      <c r="AM8" s="1821"/>
      <c r="AN8" s="1821"/>
      <c r="AO8" s="1821"/>
      <c r="AP8" s="1821"/>
      <c r="AQ8" s="1821"/>
      <c r="AR8" s="1821"/>
      <c r="AS8" s="1821"/>
      <c r="AT8" s="1294" t="s">
        <v>1891</v>
      </c>
      <c r="AU8" s="2184" t="s">
        <v>1892</v>
      </c>
      <c r="AV8" s="1294"/>
      <c r="AW8" s="2167"/>
      <c r="AX8" s="1294"/>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4"/>
      <c r="H9" s="2192" t="s">
        <v>1895</v>
      </c>
      <c r="I9" s="2193" t="s">
        <v>3082</v>
      </c>
      <c r="J9" s="983"/>
      <c r="K9" s="2193"/>
      <c r="L9" s="983"/>
      <c r="M9" s="2193"/>
      <c r="N9" s="983"/>
      <c r="O9" s="2193"/>
      <c r="P9" s="983"/>
      <c r="Q9" s="2193"/>
      <c r="R9" s="983"/>
      <c r="S9" s="2193"/>
      <c r="T9" s="983"/>
      <c r="U9" s="2193"/>
      <c r="V9" s="983"/>
      <c r="W9" s="2193"/>
      <c r="X9" s="2194"/>
      <c r="Y9" s="2193"/>
      <c r="Z9" s="983"/>
      <c r="AA9" s="2193"/>
      <c r="AB9" s="983"/>
      <c r="AC9" s="2185"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5"/>
      <c r="AT9" s="2184"/>
      <c r="AU9" s="2184" t="s">
        <v>1898</v>
      </c>
      <c r="AV9" s="1294"/>
      <c r="AW9" s="2167"/>
      <c r="AX9" s="1294"/>
      <c r="AY9" s="28"/>
      <c r="AZ9" s="28" t="s">
        <v>1888</v>
      </c>
      <c r="BA9" s="2196" t="s">
        <v>1899</v>
      </c>
      <c r="BB9" s="2197"/>
      <c r="BC9" s="1340"/>
      <c r="BD9" s="1340"/>
      <c r="BE9" s="1340"/>
      <c r="BF9" s="1340"/>
      <c r="BG9" s="1340"/>
      <c r="BH9" s="1340"/>
      <c r="BI9" s="1340"/>
      <c r="BJ9" s="1340"/>
      <c r="BK9" s="2198"/>
      <c r="BL9" s="15" t="s">
        <v>1900</v>
      </c>
      <c r="BM9" s="1821"/>
      <c r="BN9" s="2187"/>
      <c r="BO9" s="1821"/>
      <c r="BP9" s="1821"/>
      <c r="BQ9" s="1821"/>
      <c r="BR9" s="1821"/>
      <c r="BS9" s="1821"/>
      <c r="BT9" s="26"/>
    </row>
    <row r="10" spans="1:72" s="2191" customFormat="1" ht="12.75">
      <c r="A10" s="2184"/>
      <c r="B10" s="2184"/>
      <c r="C10" s="2184"/>
      <c r="D10" s="2184"/>
      <c r="E10" s="2184"/>
      <c r="F10" s="2184"/>
      <c r="G10" s="1294"/>
      <c r="H10" s="28"/>
      <c r="I10" s="2193" t="s">
        <v>3046</v>
      </c>
      <c r="J10" s="983"/>
      <c r="K10" s="2199"/>
      <c r="L10" s="983"/>
      <c r="M10" s="2199"/>
      <c r="N10" s="983"/>
      <c r="O10" s="2199"/>
      <c r="P10" s="983"/>
      <c r="Q10" s="2199"/>
      <c r="R10" s="983"/>
      <c r="S10" s="2199"/>
      <c r="T10" s="983"/>
      <c r="U10" s="2199"/>
      <c r="V10" s="983"/>
      <c r="W10" s="2199"/>
      <c r="X10" s="983"/>
      <c r="Y10" s="2199"/>
      <c r="Z10" s="983"/>
      <c r="AA10" s="2199"/>
      <c r="AB10" s="983"/>
      <c r="AC10" s="1294"/>
      <c r="AD10" s="15" t="s">
        <v>1901</v>
      </c>
      <c r="AE10" s="2200"/>
      <c r="AF10" s="15" t="s">
        <v>1901</v>
      </c>
      <c r="AG10" s="2200"/>
      <c r="AH10" s="15" t="s">
        <v>1902</v>
      </c>
      <c r="AI10" s="2200"/>
      <c r="AJ10" s="15" t="s">
        <v>1902</v>
      </c>
      <c r="AK10" s="2200"/>
      <c r="AL10" s="15" t="s">
        <v>1903</v>
      </c>
      <c r="AM10" s="1300"/>
      <c r="AN10" s="15" t="s">
        <v>1903</v>
      </c>
      <c r="AO10" s="1300"/>
      <c r="AP10" s="15" t="s">
        <v>1904</v>
      </c>
      <c r="AQ10" s="1300"/>
      <c r="AR10" s="15" t="s">
        <v>1904</v>
      </c>
      <c r="AS10" s="1300"/>
      <c r="AT10" s="2184"/>
      <c r="AU10" s="2184"/>
      <c r="AV10" s="1294"/>
      <c r="AW10" s="2167"/>
      <c r="AX10" s="1294"/>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4"/>
      <c r="AW11" s="2167"/>
      <c r="AX11" s="1294"/>
      <c r="AY11" s="28"/>
      <c r="AZ11" s="28"/>
      <c r="BA11" s="28"/>
      <c r="BB11" s="2189" t="str">
        <f>I10</f>
        <v>住宅</v>
      </c>
      <c r="BC11" s="2189">
        <f>K10</f>
        <v>0</v>
      </c>
      <c r="BD11" s="2189">
        <f>M10</f>
        <v>0</v>
      </c>
      <c r="BE11" s="2189">
        <f>O10</f>
        <v>0</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51">
      <c r="A13" s="1274"/>
      <c r="B13" s="1274"/>
      <c r="C13" s="2931" t="s">
        <v>3061</v>
      </c>
      <c r="D13" s="2932" t="s">
        <v>3081</v>
      </c>
      <c r="E13" s="16">
        <f>IF($C$3="是",ROUND($A$3*G13/$B$3,2),ROUND($A$3*(G13-AT13)/$B$3,2))</f>
        <v>0</v>
      </c>
      <c r="F13" s="32"/>
      <c r="G13" s="33">
        <f>H13+AC13+AT13</f>
        <v>88.84</v>
      </c>
      <c r="H13" s="20">
        <f>SUMIF(I$12:AB$12,"总值",I13:AB13)</f>
        <v>88.84</v>
      </c>
      <c r="I13" s="2215">
        <v>88.84</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西城区真武庙路二条10号楼2层5单元202</v>
      </c>
      <c r="AY13" s="1809">
        <f>ROUND($AY$6*AZ13/$AZ$5,2)</f>
        <v>0</v>
      </c>
      <c r="AZ13" s="16">
        <f>BA13+BL13</f>
        <v>88.84</v>
      </c>
      <c r="BA13" s="16">
        <f>SUM(BB13:BK13)</f>
        <v>88.84</v>
      </c>
      <c r="BB13" s="16">
        <f>IF($D13="是",I13-J13,0)</f>
        <v>88.84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51">
      <c r="A14" s="1274"/>
      <c r="B14" s="1274"/>
      <c r="C14" s="2931" t="s">
        <v>3062</v>
      </c>
      <c r="D14" s="2932" t="s">
        <v>3142</v>
      </c>
      <c r="E14" s="16">
        <f>IF($C$3="是",ROUND($A$3*G14/$B$3,2),ROUND($A$3*(G14-AT14)/$B$3,2))</f>
        <v>0</v>
      </c>
      <c r="F14" s="32"/>
      <c r="G14" s="33">
        <f>H14+AC14+AT14</f>
        <v>73.08</v>
      </c>
      <c r="H14" s="20">
        <f>SUMIF(I$12:AB$12,"总值",I14:AB14)</f>
        <v>73.08</v>
      </c>
      <c r="I14" s="2215">
        <v>73.08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西城区真武庙路二条10号楼2层5单元204</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51">
      <c r="A15" s="1274"/>
      <c r="B15" s="1274"/>
      <c r="C15" s="2931" t="s">
        <v>3063</v>
      </c>
      <c r="D15" s="2932" t="s">
        <v>3142</v>
      </c>
      <c r="E15" s="16">
        <f>IF($C$3="是",ROUND($A$3*G15/$B$3,2),ROUND($A$3*(G15-AT15)/$B$3,2))</f>
        <v>0</v>
      </c>
      <c r="F15" s="32"/>
      <c r="G15" s="33">
        <f>H15+AC15+AT15</f>
        <v>87</v>
      </c>
      <c r="H15" s="20">
        <f>SUMIF(I$12:AB$12,"总值",I15:AB15)</f>
        <v>87</v>
      </c>
      <c r="I15" s="2215">
        <v>87</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西城区真武庙路二条10号楼6层5单元701</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51">
      <c r="A16" s="1274"/>
      <c r="B16" s="1274"/>
      <c r="C16" s="2931" t="s">
        <v>3064</v>
      </c>
      <c r="D16" s="2932" t="s">
        <v>3142</v>
      </c>
      <c r="E16" s="16">
        <f>IF($C$3="是",ROUND($A$3*G16/$B$3,2),ROUND($A$3*(G16-AT16)/$B$3,2))</f>
        <v>0</v>
      </c>
      <c r="F16" s="32"/>
      <c r="G16" s="33">
        <f>H16+AC16+AT16</f>
        <v>86.07</v>
      </c>
      <c r="H16" s="20">
        <f>SUMIF(I$12:AB$12,"总值",I16:AB16)</f>
        <v>86.07</v>
      </c>
      <c r="I16" s="2215">
        <v>86.07</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西城区真武庙路二条10号楼6层5单元703</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51">
      <c r="A17" s="1274"/>
      <c r="B17" s="1274"/>
      <c r="C17" s="2931" t="s">
        <v>3065</v>
      </c>
      <c r="D17" s="2932" t="s">
        <v>3142</v>
      </c>
      <c r="E17" s="16">
        <f>IF($C$3="是",ROUND($A$3*G17/$B$3,2),ROUND($A$3*(G17-AT17)/$B$3,2))</f>
        <v>0</v>
      </c>
      <c r="F17" s="32"/>
      <c r="G17" s="33">
        <f>H17+AC17+AT17</f>
        <v>99.12</v>
      </c>
      <c r="H17" s="20">
        <f>SUMIF(I$12:AB$12,"总值",I17:AB17)</f>
        <v>99.12</v>
      </c>
      <c r="I17" s="2215">
        <v>99.12</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西城区真武庙路二条10号楼7层6单元801</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c r="B18" s="34"/>
      <c r="C18" s="2931" t="s">
        <v>3066</v>
      </c>
      <c r="D18" s="2932" t="s">
        <v>3142</v>
      </c>
      <c r="E18" s="35">
        <f t="shared" ref="E18:E112" si="7">IF($C$3="是",ROUND($A$3*G18/$B$3,2),ROUND($A$3*(G18-AT18)/$B$3,2))</f>
        <v>0</v>
      </c>
      <c r="F18" s="36"/>
      <c r="G18" s="37">
        <f t="shared" ref="G18:G109" si="8">H18+AC18+AT18</f>
        <v>98.26</v>
      </c>
      <c r="H18" s="38">
        <f t="shared" ref="H18:H109" si="9">SUMIF(I$12:AB$12,"总值",I18:AB18)</f>
        <v>98.26</v>
      </c>
      <c r="I18" s="39">
        <v>98.26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t="str">
        <f t="shared" ref="AX18:AX112" si="13">C18</f>
        <v>西城区真武庙路二条10号楼7层6单元803</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c r="C19" s="2931" t="s">
        <v>3067</v>
      </c>
      <c r="D19" s="2932" t="s">
        <v>3142</v>
      </c>
      <c r="E19" s="35">
        <f t="shared" si="7"/>
        <v>0</v>
      </c>
      <c r="F19" s="36"/>
      <c r="G19" s="37">
        <f t="shared" si="8"/>
        <v>97.5</v>
      </c>
      <c r="H19" s="38">
        <f t="shared" si="9"/>
        <v>97.5</v>
      </c>
      <c r="I19" s="39">
        <v>97.5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t="str">
        <f t="shared" si="13"/>
        <v>西城区真武庙路二条10号楼7层12单元802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c r="B20" s="34"/>
      <c r="C20" s="2931" t="s">
        <v>3068</v>
      </c>
      <c r="D20" s="2932" t="s">
        <v>3142</v>
      </c>
      <c r="E20" s="35">
        <f t="shared" si="7"/>
        <v>0</v>
      </c>
      <c r="F20" s="36"/>
      <c r="G20" s="37">
        <f t="shared" si="8"/>
        <v>98.25</v>
      </c>
      <c r="H20" s="38">
        <f t="shared" si="9"/>
        <v>98.25</v>
      </c>
      <c r="I20" s="39">
        <v>98.25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t="str">
        <f t="shared" si="13"/>
        <v>西城区真武庙路二条10号楼7层12单元804</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931" t="s">
        <v>3069</v>
      </c>
      <c r="D21" s="2932" t="s">
        <v>3142</v>
      </c>
      <c r="E21" s="35">
        <f t="shared" si="7"/>
        <v>0</v>
      </c>
      <c r="F21" s="36"/>
      <c r="G21" s="37">
        <f t="shared" si="8"/>
        <v>94.13</v>
      </c>
      <c r="H21" s="38">
        <f t="shared" si="9"/>
        <v>94.13</v>
      </c>
      <c r="I21" s="39">
        <v>94.13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t="str">
        <f t="shared" si="13"/>
        <v>西城区真武庙路二条10号楼8层5单元902</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71.25">
      <c r="A22" s="9"/>
      <c r="B22" s="34"/>
      <c r="C22" s="2931" t="s">
        <v>3070</v>
      </c>
      <c r="D22" s="2932" t="s">
        <v>3142</v>
      </c>
      <c r="E22" s="35">
        <f t="shared" si="7"/>
        <v>0</v>
      </c>
      <c r="F22" s="36"/>
      <c r="G22" s="37">
        <f t="shared" si="8"/>
        <v>88.77</v>
      </c>
      <c r="H22" s="38">
        <f t="shared" si="9"/>
        <v>88.77</v>
      </c>
      <c r="I22" s="39">
        <v>88.77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t="str">
        <f t="shared" si="13"/>
        <v>西城区真武庙路二条10号楼8层5单元904</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71.25">
      <c r="A23" s="9"/>
      <c r="B23" s="34"/>
      <c r="C23" s="2931" t="s">
        <v>3071</v>
      </c>
      <c r="D23" s="2932" t="s">
        <v>3142</v>
      </c>
      <c r="E23" s="35">
        <f t="shared" si="7"/>
        <v>0</v>
      </c>
      <c r="F23" s="36"/>
      <c r="G23" s="37">
        <f t="shared" si="8"/>
        <v>99.13</v>
      </c>
      <c r="H23" s="38">
        <f t="shared" si="9"/>
        <v>99.13</v>
      </c>
      <c r="I23" s="39">
        <v>99.13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t="str">
        <f t="shared" si="13"/>
        <v>西城区真武庙路二条10号楼12层11单元1501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c r="C24" s="2931" t="s">
        <v>3072</v>
      </c>
      <c r="D24" s="2932" t="s">
        <v>3142</v>
      </c>
      <c r="E24" s="35">
        <f t="shared" si="7"/>
        <v>0</v>
      </c>
      <c r="F24" s="36"/>
      <c r="G24" s="37">
        <f t="shared" si="8"/>
        <v>98.26</v>
      </c>
      <c r="H24" s="38">
        <f t="shared" si="9"/>
        <v>98.26</v>
      </c>
      <c r="I24" s="39">
        <v>98.26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t="str">
        <f t="shared" si="13"/>
        <v>西城区真武庙路二条10号楼12层11单元1503</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c r="C25" s="2931" t="s">
        <v>3073</v>
      </c>
      <c r="D25" s="2932" t="s">
        <v>3142</v>
      </c>
      <c r="E25" s="35">
        <f t="shared" si="7"/>
        <v>0</v>
      </c>
      <c r="F25" s="36"/>
      <c r="G25" s="37">
        <f t="shared" si="8"/>
        <v>94.53</v>
      </c>
      <c r="H25" s="38">
        <f t="shared" si="9"/>
        <v>94.53</v>
      </c>
      <c r="I25" s="39">
        <v>94.53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t="str">
        <f t="shared" si="13"/>
        <v>西城区真武庙路二条10号楼13层5单元1601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c r="C26" s="2931" t="s">
        <v>3074</v>
      </c>
      <c r="D26" s="2932" t="s">
        <v>3142</v>
      </c>
      <c r="E26" s="35">
        <f t="shared" si="7"/>
        <v>0</v>
      </c>
      <c r="F26" s="36"/>
      <c r="G26" s="37">
        <f t="shared" si="8"/>
        <v>88.77</v>
      </c>
      <c r="H26" s="38">
        <f t="shared" si="9"/>
        <v>88.77</v>
      </c>
      <c r="I26" s="39">
        <v>88.77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t="str">
        <f t="shared" si="13"/>
        <v>西城区真武庙路二条10号楼13层5单元1603</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c r="C27" s="2931" t="s">
        <v>3075</v>
      </c>
      <c r="D27" s="2932" t="s">
        <v>3142</v>
      </c>
      <c r="E27" s="35">
        <f t="shared" si="7"/>
        <v>0</v>
      </c>
      <c r="F27" s="36"/>
      <c r="G27" s="37">
        <f t="shared" si="8"/>
        <v>94.13</v>
      </c>
      <c r="H27" s="38">
        <f t="shared" si="9"/>
        <v>94.13</v>
      </c>
      <c r="I27" s="39">
        <v>94.13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t="str">
        <f t="shared" si="13"/>
        <v>西城区真武庙路二条10号楼14层5单元1702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c r="C28" s="2931" t="s">
        <v>3076</v>
      </c>
      <c r="D28" s="2932" t="s">
        <v>3142</v>
      </c>
      <c r="E28" s="35">
        <f t="shared" si="7"/>
        <v>0</v>
      </c>
      <c r="F28" s="36"/>
      <c r="G28" s="37">
        <f t="shared" si="8"/>
        <v>88.77</v>
      </c>
      <c r="H28" s="38">
        <f t="shared" si="9"/>
        <v>88.77</v>
      </c>
      <c r="I28" s="39">
        <v>88.77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t="str">
        <f t="shared" si="13"/>
        <v>西城区真武庙路二条10号楼14层5单元1704</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c r="C29" s="2931" t="s">
        <v>3077</v>
      </c>
      <c r="D29" s="2932" t="s">
        <v>3142</v>
      </c>
      <c r="E29" s="35">
        <f t="shared" si="7"/>
        <v>0</v>
      </c>
      <c r="F29" s="36"/>
      <c r="G29" s="37">
        <f t="shared" si="8"/>
        <v>95.36</v>
      </c>
      <c r="H29" s="38">
        <f t="shared" si="9"/>
        <v>95.36</v>
      </c>
      <c r="I29" s="39">
        <v>95.36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t="str">
        <f t="shared" si="13"/>
        <v>西城区真武庙路二条10号楼14层8单元1702</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c r="C30" s="2931" t="s">
        <v>3078</v>
      </c>
      <c r="D30" s="2932" t="s">
        <v>3142</v>
      </c>
      <c r="E30" s="35">
        <f t="shared" si="7"/>
        <v>0</v>
      </c>
      <c r="F30" s="36"/>
      <c r="G30" s="37">
        <f t="shared" si="8"/>
        <v>89.1</v>
      </c>
      <c r="H30" s="38">
        <f t="shared" si="9"/>
        <v>89.1</v>
      </c>
      <c r="I30" s="39">
        <v>89.1</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t="str">
        <f t="shared" si="13"/>
        <v>西城区真武庙路二条10号楼14层8单元1704</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71.25">
      <c r="A31" s="9"/>
      <c r="B31" s="34"/>
      <c r="C31" s="2931" t="s">
        <v>3079</v>
      </c>
      <c r="D31" s="2932" t="s">
        <v>3142</v>
      </c>
      <c r="E31" s="35">
        <f t="shared" si="7"/>
        <v>0</v>
      </c>
      <c r="F31" s="36"/>
      <c r="G31" s="37">
        <f t="shared" si="8"/>
        <v>94.96</v>
      </c>
      <c r="H31" s="38">
        <f t="shared" si="9"/>
        <v>94.96</v>
      </c>
      <c r="I31" s="39">
        <v>94.96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t="str">
        <f t="shared" si="13"/>
        <v>西城区真武庙路二条10号楼14层9单元1702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1.25">
      <c r="A32" s="9"/>
      <c r="B32" s="34"/>
      <c r="C32" s="2931" t="s">
        <v>3080</v>
      </c>
      <c r="D32" s="2932" t="s">
        <v>3142</v>
      </c>
      <c r="E32" s="35">
        <f t="shared" si="7"/>
        <v>0</v>
      </c>
      <c r="F32" s="36"/>
      <c r="G32" s="37">
        <f t="shared" si="8"/>
        <v>89.1</v>
      </c>
      <c r="H32" s="38">
        <f t="shared" si="9"/>
        <v>89.1</v>
      </c>
      <c r="I32" s="39">
        <v>89.1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t="str">
        <f t="shared" si="13"/>
        <v>西城区真武庙路二条10号楼14层9单元1704</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45" t="s">
        <v>1935</v>
      </c>
      <c r="B2" s="3045"/>
      <c r="C2" s="3045"/>
      <c r="D2" s="969" t="s">
        <v>1911</v>
      </c>
      <c r="E2" s="2228" t="s">
        <v>1912</v>
      </c>
      <c r="F2" s="1394"/>
      <c r="G2" s="2229"/>
      <c r="H2" s="2230"/>
      <c r="I2" s="2231" t="s">
        <v>1936</v>
      </c>
      <c r="J2" s="1394"/>
      <c r="K2" s="1394"/>
      <c r="L2" s="1394"/>
      <c r="M2" s="1394"/>
      <c r="N2" s="1429"/>
      <c r="O2" s="1394"/>
      <c r="P2" s="1394"/>
    </row>
    <row r="3" spans="1:16" ht="15.75" thickBot="1">
      <c r="A3" s="3046" t="s">
        <v>1909</v>
      </c>
      <c r="B3" s="3046"/>
      <c r="C3" s="3046"/>
      <c r="D3" s="46">
        <f>'数据-基础表'!AY6</f>
        <v>0</v>
      </c>
      <c r="E3" s="46">
        <f>'数据-基础表'!AZ5</f>
        <v>88.84</v>
      </c>
      <c r="F3" s="1394"/>
      <c r="G3" s="1401"/>
      <c r="H3" s="1249" t="s">
        <v>1910</v>
      </c>
      <c r="I3" s="55" t="e">
        <f>ROUND('数据-基础表'!B3/'数据-基础表'!A3,2)</f>
        <v>#DIV/0!</v>
      </c>
      <c r="J3" s="1394"/>
      <c r="K3" s="1394"/>
      <c r="L3" s="1394"/>
      <c r="M3" s="1394"/>
      <c r="N3" s="1429"/>
      <c r="O3" s="1394"/>
      <c r="P3" s="1394"/>
    </row>
    <row r="4" spans="1:16" ht="15">
      <c r="A4" s="3047"/>
      <c r="B4" s="3048"/>
      <c r="C4" s="3049"/>
      <c r="D4" s="2232" t="s">
        <v>1911</v>
      </c>
      <c r="E4" s="2233" t="s">
        <v>1912</v>
      </c>
      <c r="F4" s="1394"/>
      <c r="G4" s="2234" t="s">
        <v>1937</v>
      </c>
      <c r="H4" s="1249" t="s">
        <v>1917</v>
      </c>
      <c r="I4" s="55" t="e">
        <f>ROUND(SUMIF('数据-基础表'!I9:AS9,"地上",'数据-基础表'!I5:AS5)/'数据-基础表'!A3,2)</f>
        <v>#DIV/0!</v>
      </c>
      <c r="J4" s="1394"/>
      <c r="K4" s="1394"/>
      <c r="L4" s="1394"/>
      <c r="M4" s="1394"/>
      <c r="N4" s="1429"/>
      <c r="O4" s="1394"/>
      <c r="P4" s="1394"/>
    </row>
    <row r="5" spans="1:16">
      <c r="A5" s="47" t="s">
        <v>1913</v>
      </c>
      <c r="B5" s="3050" t="s">
        <v>1914</v>
      </c>
      <c r="C5" s="3050"/>
      <c r="D5" s="48">
        <f>ROUND($D$3*E5/$E$3,2)</f>
        <v>0</v>
      </c>
      <c r="E5" s="49">
        <f>SUMIF('数据-基础表'!$11:$11,"住宅",'数据-基础表'!$5:$5)</f>
        <v>88.84</v>
      </c>
      <c r="F5" s="1394"/>
      <c r="G5" s="1401"/>
      <c r="H5" s="1249" t="s">
        <v>1910</v>
      </c>
      <c r="I5" s="55" t="e">
        <f>ROUND(E31/D31,2)</f>
        <v>#DIV/0!</v>
      </c>
      <c r="J5" s="1394"/>
      <c r="K5" s="1394"/>
      <c r="L5" s="1394"/>
      <c r="M5" s="1394"/>
      <c r="N5" s="1394"/>
      <c r="O5" s="1394"/>
      <c r="P5" s="1394"/>
    </row>
    <row r="6" spans="1:16" ht="15" thickBot="1">
      <c r="A6" s="2235"/>
      <c r="B6" s="3050" t="s">
        <v>1915</v>
      </c>
      <c r="C6" s="3050"/>
      <c r="D6" s="48">
        <f>ROUND($D$3*E6/$E$3,2)</f>
        <v>0</v>
      </c>
      <c r="E6" s="49">
        <f>E3-E5</f>
        <v>0</v>
      </c>
      <c r="F6" s="1394"/>
      <c r="G6" s="2236" t="s">
        <v>1916</v>
      </c>
      <c r="H6" s="1401" t="s">
        <v>1917</v>
      </c>
      <c r="I6" s="941" t="e">
        <f>ROUND(F31/D31,2)</f>
        <v>#DIV/0!</v>
      </c>
      <c r="J6" s="1394"/>
      <c r="K6" s="1394"/>
      <c r="L6" s="1394"/>
      <c r="M6" s="1394"/>
      <c r="N6" s="1394"/>
      <c r="O6" s="1394"/>
      <c r="P6" s="1394"/>
    </row>
    <row r="7" spans="1:16" ht="15">
      <c r="A7" s="3042"/>
      <c r="B7" s="3043"/>
      <c r="C7" s="3044"/>
      <c r="D7" s="2232" t="s">
        <v>1911</v>
      </c>
      <c r="E7" s="2237" t="s">
        <v>1918</v>
      </c>
      <c r="F7" s="1394"/>
      <c r="G7" s="2229" t="s">
        <v>1919</v>
      </c>
      <c r="H7" s="64"/>
      <c r="I7" s="421"/>
      <c r="J7" s="1394"/>
      <c r="K7" s="1394"/>
      <c r="L7" s="1394"/>
      <c r="M7" s="1394"/>
      <c r="N7" s="1394"/>
      <c r="O7" s="1394"/>
      <c r="P7" s="1394"/>
    </row>
    <row r="8" spans="1:16">
      <c r="A8" s="47" t="s">
        <v>1920</v>
      </c>
      <c r="B8" s="50" t="s">
        <v>1921</v>
      </c>
      <c r="C8" s="48" t="s">
        <v>1922</v>
      </c>
      <c r="D8" s="48">
        <f t="shared" ref="D8:D15" si="0">ROUND($D$3*E8/$E$3,2)</f>
        <v>0</v>
      </c>
      <c r="E8" s="51">
        <f>SUMIF('数据-基础表'!BB10:BK10,"地上",'数据-基础表'!BB5:BK5)</f>
        <v>88.84</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0</v>
      </c>
      <c r="E16" s="53">
        <f>SUM(E8:E15)</f>
        <v>88.84</v>
      </c>
      <c r="F16" s="1394"/>
      <c r="G16" s="2238"/>
      <c r="H16" s="2241" t="s">
        <v>1939</v>
      </c>
      <c r="I16" s="2242"/>
      <c r="J16" s="1394"/>
      <c r="K16" s="3039" t="s">
        <v>1939</v>
      </c>
      <c r="L16" s="3040"/>
      <c r="M16" s="3040"/>
      <c r="N16" s="3040"/>
      <c r="O16" s="3040"/>
      <c r="P16" s="3041"/>
    </row>
    <row r="17" spans="1:19" ht="15">
      <c r="A17" s="2243" t="s">
        <v>1940</v>
      </c>
      <c r="B17" s="2244" t="s">
        <v>1941</v>
      </c>
      <c r="C17" s="2245" t="s">
        <v>1942</v>
      </c>
      <c r="D17" s="2246" t="s">
        <v>1930</v>
      </c>
      <c r="E17" s="2247" t="s">
        <v>1931</v>
      </c>
      <c r="F17" s="2248"/>
      <c r="G17" s="2249"/>
      <c r="H17" s="2250" t="s">
        <v>1943</v>
      </c>
      <c r="I17" s="2251" t="s">
        <v>1928</v>
      </c>
      <c r="J17" s="1394"/>
      <c r="K17" s="3036" t="s">
        <v>1944</v>
      </c>
      <c r="L17" s="3037"/>
      <c r="M17" s="3038"/>
      <c r="N17" s="3036" t="s">
        <v>1945</v>
      </c>
      <c r="O17" s="3037"/>
      <c r="P17" s="3038"/>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8" t="s">
        <v>1954</v>
      </c>
      <c r="N18" s="1264" t="s">
        <v>1952</v>
      </c>
      <c r="O18" s="2259" t="s">
        <v>1953</v>
      </c>
      <c r="P18" s="1048" t="s">
        <v>1954</v>
      </c>
      <c r="R18" s="1249" t="s">
        <v>1955</v>
      </c>
      <c r="S18" s="1249" t="s">
        <v>1956</v>
      </c>
    </row>
    <row r="19" spans="1:19">
      <c r="A19" s="2260"/>
      <c r="B19" s="50" t="s">
        <v>1929</v>
      </c>
      <c r="C19" s="2933" t="s">
        <v>3083</v>
      </c>
      <c r="D19" s="48">
        <f>ROUND($D$3*E19/$E$3,2)</f>
        <v>0</v>
      </c>
      <c r="E19" s="56">
        <f t="shared" ref="E19:E26" si="1">SUM(F19:G19)</f>
        <v>88.84</v>
      </c>
      <c r="F19" s="57">
        <v>88.84</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0</v>
      </c>
      <c r="S19" s="1250">
        <f t="shared" si="5"/>
        <v>88.84</v>
      </c>
    </row>
    <row r="20" spans="1:19">
      <c r="A20" s="2264"/>
      <c r="B20" s="50" t="s">
        <v>1957</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1957</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0</v>
      </c>
      <c r="E27" s="1396">
        <f>IF(SUM(E19:E26)='数据-基础表'!BA5,SUM(E19:E26),IF(F27="地上面积有误","面积有误","地下面积有误"))</f>
        <v>88.84</v>
      </c>
      <c r="F27" s="1395">
        <f>IF(SUM(F19:F26)=E8,SUM(F19:F26),"地上面积有误")</f>
        <v>88.84</v>
      </c>
      <c r="G27" s="1397">
        <f>SUM(G19:G26)</f>
        <v>0</v>
      </c>
      <c r="H27" s="1398">
        <f>SUM(H19:H26)</f>
        <v>0</v>
      </c>
      <c r="I27" s="1399">
        <f>SUM(I19:I26)</f>
        <v>0</v>
      </c>
      <c r="J27" s="1394"/>
      <c r="K27" s="1402">
        <f t="shared" ref="K27:P27" si="10">SUM(K19:K26)</f>
        <v>0</v>
      </c>
      <c r="L27" s="1403">
        <f t="shared" si="10"/>
        <v>0</v>
      </c>
      <c r="M27" s="1406">
        <f t="shared" si="10"/>
        <v>0</v>
      </c>
      <c r="N27" s="1402">
        <f t="shared" si="10"/>
        <v>0</v>
      </c>
      <c r="O27" s="1403">
        <f t="shared" si="10"/>
        <v>0</v>
      </c>
      <c r="P27" s="1404">
        <f t="shared" si="10"/>
        <v>0</v>
      </c>
      <c r="R27" s="1251">
        <f>IF(SUM(R19:R26)=$D$3,SUM(R19:R26),SUM(R19:R26)&amp;"误差"&amp;ROUND(SUM(R19:R26)-$D$3,2))</f>
        <v>0</v>
      </c>
      <c r="S27" s="1249">
        <f>IF(SUM(S19:S26)=$E$3,SUM(S19:S26),SUM(S19:S26)&amp;"误差"&amp;ROUND(SUM(S19:S26)-E3,2))</f>
        <v>88.84</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1962</v>
      </c>
      <c r="D31" s="728">
        <f>D27+D30</f>
        <v>0</v>
      </c>
      <c r="E31" s="728">
        <f>E27+E30</f>
        <v>88.84</v>
      </c>
      <c r="F31" s="729">
        <f>F27+F30</f>
        <v>88.84</v>
      </c>
      <c r="G31" s="730">
        <f>G27+G30</f>
        <v>0</v>
      </c>
      <c r="H31" s="1394"/>
      <c r="I31" s="1394"/>
      <c r="J31" s="1394"/>
      <c r="K31" s="1394"/>
      <c r="L31" s="1394"/>
      <c r="M31" s="1394"/>
      <c r="N31" s="1394"/>
      <c r="O31" s="1394"/>
      <c r="P31" s="1394"/>
    </row>
    <row r="32" spans="1:19">
      <c r="A32" s="2234"/>
      <c r="B32" s="2234" t="s">
        <v>1963</v>
      </c>
      <c r="C32" s="2234"/>
      <c r="D32" s="2234"/>
      <c r="E32" s="1276">
        <f>SUMIF(C19:C26,"*住宅*",E19:E26)</f>
        <v>88.84</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H7" sqref="AH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4"/>
      <c r="D1" s="2274"/>
      <c r="E1" s="1584"/>
      <c r="F1" s="1584"/>
      <c r="G1" s="1584"/>
      <c r="H1" s="1584"/>
      <c r="I1" s="1584"/>
      <c r="J1" s="1584"/>
      <c r="K1" s="169"/>
      <c r="L1" s="169"/>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8">
        <f>项目基本情况!D3</f>
        <v>43040</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3085</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6" t="s">
        <v>2005</v>
      </c>
      <c r="AP5" s="1251" t="s">
        <v>2006</v>
      </c>
      <c r="AQ5" s="2306" t="s">
        <v>2007</v>
      </c>
      <c r="AR5" s="2306"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住宅</v>
      </c>
      <c r="B6" s="2308" t="str">
        <f>IF(A6=0,"","经营性")</f>
        <v>经营性</v>
      </c>
      <c r="C6" s="2309" t="s">
        <v>3046</v>
      </c>
      <c r="D6" s="1053">
        <f>SUMIF(项目基本情况!D$12:I$12,C6,项目基本情况!D$14:I$14)</f>
        <v>70</v>
      </c>
      <c r="E6" s="1050">
        <f>IF(B6="","",SUMIF(项目基本情况!D$12:I$12,C6,项目基本情况!D$13:I$13))</f>
        <v>63481</v>
      </c>
      <c r="F6" s="72">
        <f>SUMIF(项目基本情况!D$12:I$12,C6,项目基本情况!D$15:I$15)</f>
        <v>56</v>
      </c>
      <c r="G6" s="73">
        <f t="shared" ref="G6:G13" si="0">IF(ISERROR(ROUND(POWER(1+H6,D6-F6)*(POWER(1+H6,F6)-1)/(POWER(1+H6,D6)-1),3)),0,ROUND(POWER(1+H6,D6-F6)*(POWER(1+H6,F6)-1)/(POWER(1+H6,D6)-1),3))</f>
        <v>0.95899999999999996</v>
      </c>
      <c r="H6" s="801">
        <v>4.4999999999999998E-2</v>
      </c>
      <c r="I6" s="801">
        <v>5.5E-2</v>
      </c>
      <c r="J6" s="74">
        <v>8.5000000000000006E-2</v>
      </c>
      <c r="K6" s="1253">
        <f>SUMIF('数据-汇总表'!C$19:C$33,A6,'数据-汇总表'!E$19:E$33)</f>
        <v>88.84</v>
      </c>
      <c r="L6" s="802">
        <v>3500</v>
      </c>
      <c r="M6" s="75">
        <f t="shared" ref="M6:M14" si="1">ROUND(K6*L6/10000,0)</f>
        <v>31</v>
      </c>
      <c r="N6" s="800">
        <v>0.9</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'比较法-住宅租金'!C49</f>
        <v>18420.8</v>
      </c>
      <c r="V6" s="79">
        <v>0.03</v>
      </c>
      <c r="W6" s="79">
        <v>0.1</v>
      </c>
      <c r="X6" s="1263"/>
      <c r="Y6" s="80">
        <v>0.9</v>
      </c>
      <c r="Z6" s="81"/>
      <c r="AA6" s="74"/>
      <c r="AB6" s="74"/>
      <c r="AC6" s="1263"/>
      <c r="AD6" s="82"/>
      <c r="AE6" s="1264">
        <f ca="1">IF(AN6="",0,SUMIF(INDIRECT("'"&amp;AN6&amp;"'"&amp;"!E:E"),$AE$5,INDIRECT("'"&amp;AN6&amp;"'"&amp;"!F:F")))</f>
        <v>54</v>
      </c>
      <c r="AF6" s="1807"/>
      <c r="AG6" s="147">
        <f>IF(AF6="",0,AE6-AF6)</f>
        <v>0</v>
      </c>
      <c r="AH6" s="83">
        <v>1</v>
      </c>
      <c r="AI6" s="85">
        <v>12</v>
      </c>
      <c r="AJ6" s="86"/>
      <c r="AK6" s="87">
        <v>0.02</v>
      </c>
      <c r="AL6" s="88">
        <v>2E-3</v>
      </c>
      <c r="AM6" s="89">
        <v>0.02</v>
      </c>
      <c r="AN6" s="2310" t="s">
        <v>3139</v>
      </c>
      <c r="AO6" s="55">
        <f ca="1">SUMIF(INDIRECT("'"&amp;AN6&amp;"'"&amp;"!A:A"),"总价",INDIRECT("'"&amp;AN6&amp;"'"&amp;"!B:B"))</f>
        <v>493</v>
      </c>
      <c r="AP6" s="2311">
        <f>IF(C6="住宅",K6*L6,0)</f>
        <v>310940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2">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si="0"/>
        <v>0</v>
      </c>
      <c r="H7" s="801"/>
      <c r="I7" s="801"/>
      <c r="J7" s="74"/>
      <c r="K7" s="1253">
        <f>SUMIF('数据-汇总表'!C$19:C$33,A7,'数据-汇总表'!E$19:E$33)</f>
        <v>0</v>
      </c>
      <c r="L7" s="802"/>
      <c r="M7" s="75">
        <f t="shared" si="1"/>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2"/>
        <v/>
      </c>
      <c r="C8" s="2309"/>
      <c r="D8" s="1053">
        <f>SUMIF(项目基本情况!D$12:I$12,C8,项目基本情况!D$14:I$14)</f>
        <v>0</v>
      </c>
      <c r="E8" s="1050" t="str">
        <f>IF(B8="","",SUMIF(项目基本情况!D$12:I$12,C8,项目基本情况!D$13:I$13))</f>
        <v/>
      </c>
      <c r="F8" s="72">
        <f>SUMIF(项目基本情况!D$12:I$12,C8,项目基本情况!D$15:I$15)</f>
        <v>0</v>
      </c>
      <c r="G8" s="73">
        <f t="shared" si="0"/>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2"/>
        <v/>
      </c>
      <c r="C9" s="2309"/>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2"/>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2"/>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2"/>
        <v/>
      </c>
      <c r="C12" s="2309"/>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2"/>
        <v/>
      </c>
      <c r="C13" s="2309"/>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1"/>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8"/>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8"/>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7"/>
      <c r="D16" s="2315"/>
      <c r="E16" s="97"/>
      <c r="F16" s="97"/>
      <c r="G16" s="98">
        <f>ROUND(SUMPRODUCT(G6:G13,K6:K13)/SUMPRODUCT((G6:G13&gt;0)*(K6:K13)),3)</f>
        <v>0.95899999999999996</v>
      </c>
      <c r="H16" s="99">
        <f>ROUND(SUMPRODUCT(H6:H13,K6:K13)/SUMPRODUCT((H6:H13&gt;0)*(K6:K13)),3)</f>
        <v>4.4999999999999998E-2</v>
      </c>
      <c r="I16" s="100"/>
      <c r="J16" s="100"/>
      <c r="K16" s="101">
        <f>SUM(K6:K15)</f>
        <v>88.84</v>
      </c>
      <c r="L16" s="102">
        <f>ROUND(M16*10000/SUM(K6:K14),0)</f>
        <v>3489</v>
      </c>
      <c r="M16" s="102">
        <f>SUM(M6:M14)</f>
        <v>31</v>
      </c>
      <c r="N16" s="103">
        <f>ROUND(SUMPRODUCT(M6:M14,N6:N14)/M16,3)</f>
        <v>0.9</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4"/>
      <c r="D17" s="2274"/>
      <c r="E17" s="2274"/>
      <c r="F17" s="1584"/>
      <c r="G17" s="1584"/>
      <c r="H17" s="1584"/>
      <c r="I17" s="1584"/>
      <c r="J17" s="1584"/>
      <c r="K17" s="169"/>
      <c r="L17" s="169"/>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9"/>
      <c r="L18" s="169"/>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9"/>
      <c r="L19" s="169"/>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2</v>
      </c>
      <c r="C20" s="2278" t="s">
        <v>2018</v>
      </c>
      <c r="D20" s="2279"/>
      <c r="E20" s="2278"/>
      <c r="F20" s="2278"/>
      <c r="G20" s="2278"/>
      <c r="H20" s="2278"/>
      <c r="I20" s="2278"/>
      <c r="J20" s="2278"/>
      <c r="K20" s="169"/>
      <c r="L20" s="169"/>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2</v>
      </c>
      <c r="C21" s="2278"/>
      <c r="D21" s="2279"/>
      <c r="E21" s="2278"/>
      <c r="F21" s="2278"/>
      <c r="G21" s="2278"/>
      <c r="H21" s="2278"/>
      <c r="I21" s="2278"/>
      <c r="J21" s="2278"/>
      <c r="K21" s="169"/>
      <c r="L21" s="169"/>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2</v>
      </c>
      <c r="C22" s="2278"/>
      <c r="D22" s="2279"/>
      <c r="E22" s="2278"/>
      <c r="F22" s="2278"/>
      <c r="G22" s="2278"/>
      <c r="H22" s="2278"/>
      <c r="I22" s="2278"/>
      <c r="J22" s="2278"/>
      <c r="K22" s="169"/>
      <c r="L22" s="169"/>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2</v>
      </c>
      <c r="C23" s="2278"/>
      <c r="D23" s="2279"/>
      <c r="E23" s="2278"/>
      <c r="F23" s="2278"/>
      <c r="G23" s="2278"/>
      <c r="H23" s="2278"/>
      <c r="I23" s="2278"/>
      <c r="J23" s="2278"/>
      <c r="K23" s="169"/>
      <c r="L23" s="169"/>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9"/>
      <c r="L24" s="169"/>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9"/>
      <c r="L25" s="169"/>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9"/>
      <c r="L26" s="169"/>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v>200</v>
      </c>
      <c r="C27" s="1767" t="s">
        <v>2027</v>
      </c>
      <c r="D27" s="2324"/>
      <c r="E27" s="1429"/>
      <c r="F27" s="1429"/>
      <c r="G27" s="2278"/>
      <c r="H27" s="2278"/>
      <c r="I27" s="2278"/>
      <c r="J27" s="2278"/>
      <c r="K27" s="169"/>
      <c r="L27" s="169"/>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2028</v>
      </c>
      <c r="B28" s="119">
        <v>0</v>
      </c>
      <c r="C28" s="2327"/>
      <c r="D28" s="2324"/>
      <c r="E28" s="1429"/>
      <c r="F28" s="1429"/>
      <c r="G28" s="2278"/>
      <c r="H28" s="2278"/>
      <c r="I28" s="2278"/>
      <c r="J28" s="2278"/>
      <c r="K28" s="169"/>
      <c r="L28" s="169"/>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2029</v>
      </c>
      <c r="B29" s="121">
        <v>200</v>
      </c>
      <c r="C29" s="1767" t="s">
        <v>2030</v>
      </c>
      <c r="D29" s="2324"/>
      <c r="E29" s="1429"/>
      <c r="F29" s="1429"/>
      <c r="G29" s="2278"/>
      <c r="H29" s="2278"/>
      <c r="I29" s="2278"/>
      <c r="J29" s="2278"/>
      <c r="K29" s="169"/>
      <c r="L29" s="169"/>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2031</v>
      </c>
      <c r="B30" s="723">
        <v>200</v>
      </c>
      <c r="C30" s="2327"/>
      <c r="D30" s="2324"/>
      <c r="E30" s="1429"/>
      <c r="F30" s="1429"/>
      <c r="G30" s="2278"/>
      <c r="H30" s="2278"/>
      <c r="I30" s="2278"/>
      <c r="J30" s="2278"/>
      <c r="K30" s="169"/>
      <c r="L30" s="169"/>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2032</v>
      </c>
      <c r="B31" s="120">
        <f>B30-B32</f>
        <v>200</v>
      </c>
      <c r="C31" s="1767"/>
      <c r="D31" s="2324"/>
      <c r="E31" s="1429"/>
      <c r="F31" s="1429"/>
      <c r="G31" s="2278"/>
      <c r="H31" s="2278"/>
      <c r="I31" s="2278"/>
      <c r="J31" s="2278"/>
      <c r="K31" s="169"/>
      <c r="L31" s="169"/>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2033</v>
      </c>
      <c r="B32" s="724">
        <v>0</v>
      </c>
      <c r="C32" s="2327"/>
      <c r="D32" s="2279"/>
      <c r="E32" s="2278"/>
      <c r="F32" s="2278"/>
      <c r="G32" s="2278"/>
      <c r="H32" s="2278"/>
      <c r="I32" s="2278"/>
      <c r="J32" s="2278"/>
      <c r="K32" s="169"/>
      <c r="L32" s="169"/>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2034</v>
      </c>
      <c r="B33" s="725">
        <v>0.03</v>
      </c>
      <c r="C33" s="1766" t="s">
        <v>2035</v>
      </c>
      <c r="D33" s="2279"/>
      <c r="E33" s="2278"/>
      <c r="F33" s="2278"/>
      <c r="G33" s="2278"/>
      <c r="H33" s="2278"/>
      <c r="I33" s="2278"/>
      <c r="J33" s="2278"/>
      <c r="K33" s="169"/>
      <c r="L33" s="169"/>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2036</v>
      </c>
      <c r="B34" s="122">
        <v>0.05</v>
      </c>
      <c r="C34" s="1766" t="s">
        <v>2037</v>
      </c>
      <c r="D34" s="2279" t="s">
        <v>2038</v>
      </c>
      <c r="E34" s="731"/>
      <c r="F34" s="2278"/>
      <c r="G34" s="2278"/>
      <c r="H34" s="2278"/>
      <c r="I34" s="2278"/>
      <c r="J34" s="2278"/>
      <c r="K34" s="169"/>
      <c r="L34" s="169"/>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2039</v>
      </c>
      <c r="B35" s="119">
        <v>200</v>
      </c>
      <c r="C35" s="1766" t="s">
        <v>2040</v>
      </c>
      <c r="D35" s="2324"/>
      <c r="E35" s="1429"/>
      <c r="F35" s="1429"/>
      <c r="G35" s="2278"/>
      <c r="H35" s="2278"/>
      <c r="I35" s="2278"/>
      <c r="J35" s="2278"/>
      <c r="K35" s="169"/>
      <c r="L35" s="169"/>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2041</v>
      </c>
      <c r="B36" s="123">
        <v>1.4999999999999999E-2</v>
      </c>
      <c r="C36" s="1766" t="s">
        <v>2042</v>
      </c>
      <c r="D36" s="2279"/>
      <c r="E36" s="2278"/>
      <c r="F36" s="2278"/>
      <c r="G36" s="2278"/>
      <c r="H36" s="2278"/>
      <c r="I36" s="2278"/>
      <c r="J36" s="2278"/>
      <c r="K36" s="169"/>
      <c r="L36" s="169"/>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0.02</v>
      </c>
      <c r="C37" s="1766" t="s">
        <v>2044</v>
      </c>
      <c r="D37" s="2279"/>
      <c r="E37" s="2278"/>
      <c r="F37" s="2278"/>
      <c r="G37" s="2278"/>
      <c r="H37" s="2278"/>
      <c r="I37" s="2278"/>
      <c r="J37" s="2278"/>
      <c r="K37" s="169"/>
      <c r="L37" s="169"/>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0.02</v>
      </c>
      <c r="C38" s="1766" t="s">
        <v>2044</v>
      </c>
      <c r="D38" s="2279"/>
      <c r="E38" s="2278"/>
      <c r="F38" s="2278"/>
      <c r="G38" s="2278"/>
      <c r="H38" s="2278"/>
      <c r="I38" s="2278"/>
      <c r="J38" s="2278"/>
      <c r="K38" s="169"/>
      <c r="L38" s="169"/>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3">
        <f ca="1">存贷款利率!I1</f>
        <v>1.4999999999999999E-2</v>
      </c>
      <c r="C39" s="1766"/>
      <c r="D39" s="2279"/>
      <c r="E39" s="2278"/>
      <c r="F39" s="2278"/>
      <c r="G39" s="2278"/>
      <c r="H39" s="2278"/>
      <c r="I39" s="2278"/>
      <c r="J39" s="2278"/>
      <c r="K39" s="169"/>
      <c r="L39" s="169"/>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2">
        <f ca="1">存贷款利率!G1</f>
        <v>4.7500000000000001E-2</v>
      </c>
      <c r="C40" s="1766" t="s">
        <v>2048</v>
      </c>
      <c r="D40" s="1584"/>
      <c r="E40" s="2279"/>
      <c r="F40" s="2278"/>
      <c r="G40" s="2278"/>
      <c r="H40" s="2278"/>
      <c r="I40" s="2278"/>
      <c r="J40" s="2278"/>
      <c r="K40" s="169"/>
      <c r="L40" s="169"/>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5.6000000000000001E-2</v>
      </c>
      <c r="C41" s="1767"/>
      <c r="D41" s="1584"/>
      <c r="E41" s="2279"/>
      <c r="F41" s="2278"/>
      <c r="G41" s="2278"/>
      <c r="H41" s="2278"/>
      <c r="I41" s="2278"/>
      <c r="J41" s="2278"/>
      <c r="K41" s="169"/>
      <c r="L41" s="169"/>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9"/>
      <c r="L42" s="169"/>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6.000000000000001E-3</v>
      </c>
      <c r="C43" s="1767"/>
      <c r="D43" s="2279"/>
      <c r="E43" s="2278"/>
      <c r="F43" s="2278"/>
      <c r="G43" s="2278"/>
      <c r="H43" s="2278"/>
      <c r="I43" s="2278"/>
      <c r="J43" s="2278"/>
      <c r="K43" s="169"/>
      <c r="L43" s="169"/>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7.0000000000000007E-2</v>
      </c>
      <c r="C44" s="1766" t="s">
        <v>2053</v>
      </c>
      <c r="D44" s="2279"/>
      <c r="E44" s="2278"/>
      <c r="F44" s="2278"/>
      <c r="G44" s="2278"/>
      <c r="H44" s="2278"/>
      <c r="I44" s="2278"/>
      <c r="J44" s="2278"/>
      <c r="K44" s="169"/>
      <c r="L44" s="169"/>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9"/>
      <c r="L45" s="169"/>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9"/>
      <c r="L46" s="169"/>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9"/>
      <c r="L47" s="169"/>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0.03</v>
      </c>
      <c r="C48" s="1774" t="s">
        <v>2061</v>
      </c>
      <c r="D48" s="2279"/>
      <c r="E48" s="2278"/>
      <c r="F48" s="2278"/>
      <c r="G48" s="2278"/>
      <c r="H48" s="2278"/>
      <c r="I48" s="2278"/>
      <c r="J48" s="2278"/>
      <c r="K48" s="169"/>
      <c r="L48" s="169"/>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9"/>
      <c r="L49" s="169"/>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29"/>
      <c r="D50" s="2279"/>
      <c r="E50" s="2278"/>
      <c r="F50" s="2278"/>
      <c r="G50" s="2278"/>
      <c r="H50" s="2278"/>
      <c r="I50" s="2278"/>
      <c r="J50" s="2278"/>
      <c r="K50" s="169"/>
      <c r="L50" s="169"/>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29"/>
      <c r="D51" s="2279"/>
      <c r="E51" s="2278"/>
      <c r="F51" s="2278"/>
      <c r="G51" s="2278"/>
      <c r="H51" s="2278"/>
      <c r="I51" s="2278"/>
      <c r="J51" s="2278"/>
      <c r="K51" s="169"/>
      <c r="L51" s="169"/>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24</v>
      </c>
      <c r="C52" s="1429"/>
      <c r="D52" s="2279"/>
      <c r="E52" s="2278"/>
      <c r="F52" s="2278"/>
      <c r="G52" s="2278"/>
      <c r="H52" s="2278"/>
      <c r="I52" s="2278"/>
      <c r="J52" s="2278"/>
      <c r="K52" s="169"/>
      <c r="L52" s="169"/>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269</v>
      </c>
      <c r="C53" s="1429" t="s">
        <v>2068</v>
      </c>
      <c r="D53" s="2338" t="s">
        <v>2069</v>
      </c>
      <c r="E53" s="2278"/>
      <c r="F53" s="2278"/>
      <c r="G53" s="2278"/>
      <c r="H53" s="2278"/>
      <c r="I53" s="2278"/>
      <c r="J53" s="2278"/>
      <c r="K53" s="169"/>
      <c r="L53" s="169"/>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29">
        <v>30</v>
      </c>
      <c r="D54" s="2279"/>
      <c r="E54" s="2278"/>
      <c r="F54" s="2278"/>
      <c r="G54" s="2278"/>
      <c r="H54" s="2278"/>
      <c r="I54" s="2278"/>
      <c r="J54" s="2278"/>
      <c r="K54" s="169"/>
      <c r="L54" s="169"/>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v>24</v>
      </c>
      <c r="C55" s="1429">
        <v>24</v>
      </c>
      <c r="D55" s="2279"/>
      <c r="E55" s="2278"/>
      <c r="F55" s="2278"/>
      <c r="G55" s="2278"/>
      <c r="H55" s="2278"/>
      <c r="I55" s="2340"/>
      <c r="J55" s="2278"/>
      <c r="K55" s="169"/>
      <c r="L55" s="169"/>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29">
        <v>18</v>
      </c>
      <c r="D56" s="2279"/>
      <c r="E56" s="2278"/>
      <c r="F56" s="2278"/>
      <c r="G56" s="2278"/>
      <c r="H56" s="2278"/>
      <c r="I56" s="2278"/>
      <c r="J56" s="2278"/>
      <c r="K56" s="169"/>
      <c r="L56" s="169"/>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29">
        <v>12</v>
      </c>
      <c r="D57" s="2279"/>
      <c r="E57" s="2278"/>
      <c r="F57" s="2278"/>
      <c r="G57" s="2278"/>
      <c r="H57" s="2278"/>
      <c r="I57" s="2278"/>
      <c r="J57" s="2278"/>
      <c r="K57" s="169"/>
      <c r="L57" s="169"/>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29">
        <v>3</v>
      </c>
      <c r="D58" s="2279"/>
      <c r="E58" s="2278"/>
      <c r="F58" s="2278"/>
      <c r="G58" s="2278"/>
      <c r="H58" s="2278"/>
      <c r="I58" s="2278"/>
      <c r="J58" s="2278"/>
      <c r="K58" s="169"/>
      <c r="L58" s="169"/>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c r="C59" s="1429">
        <v>1.5</v>
      </c>
      <c r="D59" s="2279"/>
      <c r="E59" s="2278"/>
      <c r="F59" s="2278"/>
      <c r="G59" s="2278"/>
      <c r="H59" s="2278"/>
      <c r="I59" s="2278"/>
      <c r="J59" s="2278"/>
      <c r="K59" s="169"/>
      <c r="L59" s="169"/>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9"/>
      <c r="L60" s="169"/>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9"/>
      <c r="L61" s="169"/>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9"/>
      <c r="L62" s="169"/>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9"/>
      <c r="L63" s="169"/>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6" sqref="F26"/>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51" t="s">
        <v>2080</v>
      </c>
      <c r="B1" s="3052"/>
      <c r="C1" s="3052"/>
      <c r="D1" s="3052"/>
      <c r="E1" s="3052"/>
      <c r="F1" s="3052"/>
      <c r="G1" s="305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6" t="s">
        <v>2083</v>
      </c>
      <c r="B3" s="1270" t="s">
        <v>2084</v>
      </c>
      <c r="C3" s="2934" t="s">
        <v>3086</v>
      </c>
      <c r="D3" s="2371"/>
      <c r="E3" s="432" t="s">
        <v>2083</v>
      </c>
      <c r="F3" s="2372" t="s">
        <v>2085</v>
      </c>
      <c r="G3" s="2373" t="s">
        <v>2086</v>
      </c>
      <c r="H3" s="2369"/>
      <c r="I3" s="2369"/>
      <c r="J3" s="2369"/>
      <c r="K3" s="2369"/>
      <c r="L3" s="2369"/>
      <c r="M3" s="2369"/>
      <c r="N3" s="2369"/>
      <c r="O3" s="2369"/>
      <c r="P3" s="2369"/>
      <c r="Q3" s="2369"/>
      <c r="R3" s="2369"/>
    </row>
    <row r="4" spans="1:29" ht="41.25">
      <c r="A4" s="432"/>
      <c r="B4" s="1798" t="s">
        <v>2087</v>
      </c>
      <c r="C4" s="2374" t="s">
        <v>2088</v>
      </c>
      <c r="D4" s="2371"/>
      <c r="E4" s="2375"/>
      <c r="F4" s="42" t="s">
        <v>2089</v>
      </c>
      <c r="G4" s="2376" t="s">
        <v>2090</v>
      </c>
      <c r="H4" s="2369"/>
      <c r="I4" s="2369"/>
      <c r="J4" s="2369"/>
      <c r="K4" s="2369"/>
      <c r="L4" s="2369"/>
      <c r="M4" s="2369"/>
      <c r="N4" s="2369"/>
      <c r="O4" s="2369"/>
      <c r="P4" s="2369"/>
      <c r="Q4" s="2369"/>
      <c r="R4" s="2369"/>
    </row>
    <row r="5" spans="1:29" ht="41.25">
      <c r="A5" s="432"/>
      <c r="B5" s="1798" t="s">
        <v>2091</v>
      </c>
      <c r="C5" s="2374" t="s">
        <v>2092</v>
      </c>
      <c r="D5" s="2371"/>
      <c r="E5" s="2375"/>
      <c r="F5" s="1798" t="s">
        <v>2093</v>
      </c>
      <c r="G5" s="2376" t="s">
        <v>2094</v>
      </c>
      <c r="H5" s="2369"/>
      <c r="I5" s="2369"/>
      <c r="J5" s="2369"/>
      <c r="K5" s="2369"/>
      <c r="L5" s="2369"/>
      <c r="M5" s="2369"/>
      <c r="N5" s="2369"/>
      <c r="O5" s="2369"/>
      <c r="P5" s="2369"/>
      <c r="Q5" s="2369"/>
      <c r="R5" s="2369"/>
    </row>
    <row r="6" spans="1:29" ht="40.5">
      <c r="A6" s="432"/>
      <c r="B6" s="1798" t="s">
        <v>2095</v>
      </c>
      <c r="C6" s="2935" t="s">
        <v>3087</v>
      </c>
      <c r="D6" s="2371"/>
      <c r="E6" s="2375"/>
      <c r="F6" s="1798" t="s">
        <v>2096</v>
      </c>
      <c r="G6" s="2376" t="s">
        <v>2097</v>
      </c>
      <c r="H6" s="2369"/>
      <c r="I6" s="2369"/>
      <c r="J6" s="2369"/>
      <c r="K6" s="2369"/>
      <c r="L6" s="2369"/>
      <c r="M6" s="2369"/>
      <c r="N6" s="2369"/>
      <c r="O6" s="2369"/>
      <c r="P6" s="2369"/>
      <c r="Q6" s="2369"/>
      <c r="R6" s="2369"/>
    </row>
    <row r="7" spans="1:29" ht="41.25" thickBot="1">
      <c r="A7" s="432"/>
      <c r="B7" s="1798" t="s">
        <v>2093</v>
      </c>
      <c r="C7" s="2935" t="s">
        <v>3088</v>
      </c>
      <c r="D7" s="2377"/>
      <c r="E7" s="2378"/>
      <c r="F7" s="2379" t="s">
        <v>2098</v>
      </c>
      <c r="G7" s="2380" t="s">
        <v>2099</v>
      </c>
      <c r="H7" s="2369"/>
      <c r="I7" s="2369"/>
      <c r="J7" s="2369"/>
      <c r="K7" s="2369"/>
      <c r="L7" s="2369"/>
      <c r="M7" s="2369"/>
      <c r="N7" s="2369"/>
      <c r="O7" s="2369"/>
      <c r="P7" s="2369"/>
      <c r="Q7" s="2369"/>
      <c r="R7" s="2369"/>
    </row>
    <row r="8" spans="1:29" ht="27">
      <c r="A8" s="432"/>
      <c r="B8" s="1798" t="s">
        <v>2096</v>
      </c>
      <c r="C8" s="2935" t="s">
        <v>3089</v>
      </c>
      <c r="D8" s="2377"/>
      <c r="E8" s="2377"/>
      <c r="F8" s="1135"/>
      <c r="G8" s="1135"/>
      <c r="H8" s="2369"/>
      <c r="I8" s="2369"/>
      <c r="J8" s="2369"/>
      <c r="K8" s="2369"/>
      <c r="L8" s="2369"/>
      <c r="M8" s="2369"/>
      <c r="N8" s="2369"/>
      <c r="O8" s="2369"/>
      <c r="P8" s="2369"/>
      <c r="Q8" s="2369"/>
      <c r="R8" s="2369"/>
    </row>
    <row r="9" spans="1:29" ht="40.5">
      <c r="A9" s="432"/>
      <c r="B9" s="1798" t="s">
        <v>2100</v>
      </c>
      <c r="C9" s="2936" t="s">
        <v>3090</v>
      </c>
      <c r="D9" s="2371"/>
      <c r="E9" s="2377"/>
      <c r="F9" s="1135"/>
      <c r="G9" s="1135"/>
      <c r="H9" s="2369"/>
      <c r="I9" s="2369"/>
      <c r="J9" s="2369"/>
      <c r="K9" s="2369"/>
      <c r="L9" s="2369"/>
      <c r="M9" s="2369"/>
      <c r="N9" s="2369"/>
      <c r="O9" s="2369"/>
      <c r="P9" s="2369"/>
      <c r="Q9" s="2369"/>
      <c r="R9" s="2369"/>
    </row>
    <row r="10" spans="1:29" s="117" customFormat="1" ht="15.75" thickBot="1">
      <c r="A10" s="2381"/>
      <c r="B10" s="2382" t="s">
        <v>2101</v>
      </c>
      <c r="C10" s="2383"/>
      <c r="D10" s="2371"/>
      <c r="E10" s="2371"/>
      <c r="F10" s="1135"/>
      <c r="G10" s="1135"/>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3"/>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2102</v>
      </c>
      <c r="B13" s="2388"/>
      <c r="C13" s="2388"/>
      <c r="D13" s="2395"/>
      <c r="E13" s="2388"/>
      <c r="F13" s="2388"/>
      <c r="G13" s="2388"/>
    </row>
    <row r="14" spans="1:29" ht="15.75" thickBot="1">
      <c r="A14" s="2399"/>
      <c r="B14" s="2400"/>
      <c r="C14" s="2401" t="s">
        <v>2103</v>
      </c>
      <c r="D14" s="2371"/>
      <c r="E14" s="2402"/>
      <c r="F14" s="2402"/>
      <c r="G14" s="2366" t="s">
        <v>2104</v>
      </c>
    </row>
    <row r="15" spans="1:29" ht="57">
      <c r="A15" s="68" t="s">
        <v>2105</v>
      </c>
      <c r="B15" s="1269" t="s">
        <v>2084</v>
      </c>
      <c r="C15" s="2403" t="str">
        <f>C3</f>
        <v>估价对象周边居住用地比例大、居住小区规模和社区发展完善，综合评价居住社区成熟度好</v>
      </c>
      <c r="D15" s="2371"/>
      <c r="E15" s="2404" t="s">
        <v>2106</v>
      </c>
      <c r="F15" s="1269" t="s">
        <v>2107</v>
      </c>
      <c r="G15" s="135" t="str">
        <f>G3</f>
        <v>估价对象位于XX开发区，园区建设成熟度XX，产业集聚程度XX</v>
      </c>
    </row>
    <row r="16" spans="1:29" ht="42.75">
      <c r="A16" s="646"/>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6"/>
      <c r="B17" s="2405" t="s">
        <v>2091</v>
      </c>
      <c r="C17" s="2406" t="str">
        <f>C5</f>
        <v>估价对象位于XX商圈，周边办公楼项目较多，入驻率高，办公集聚程度较好</v>
      </c>
      <c r="D17" s="2377"/>
      <c r="E17" s="2407"/>
      <c r="F17" s="2408" t="s">
        <v>2108</v>
      </c>
      <c r="G17" s="1572"/>
    </row>
    <row r="18" spans="1:18" ht="42.75">
      <c r="A18" s="646"/>
      <c r="B18" s="2408" t="s">
        <v>2095</v>
      </c>
      <c r="C18" s="136" t="str">
        <f>C6</f>
        <v>估价对象周边道路通达、公共交通通达、停车便捷，综合评价交通便捷度好</v>
      </c>
      <c r="D18" s="2377"/>
      <c r="E18" s="2407"/>
      <c r="F18" s="2408" t="s">
        <v>2098</v>
      </c>
      <c r="G18" s="136" t="str">
        <f>G7</f>
        <v>该园区内是否有污染型企业，绿化情况，卫生条件，整体环境状况判断</v>
      </c>
    </row>
    <row r="19" spans="1:18" ht="28.5">
      <c r="A19" s="646"/>
      <c r="B19" s="2408" t="s">
        <v>2109</v>
      </c>
      <c r="C19" s="2937" t="s">
        <v>3091</v>
      </c>
      <c r="D19" s="2371"/>
      <c r="E19" s="2407"/>
      <c r="F19" s="1798" t="s">
        <v>2093</v>
      </c>
      <c r="G19" s="136" t="str">
        <f>G5</f>
        <v>估价对象所在区域公共配套设施齐备情况</v>
      </c>
    </row>
    <row r="20" spans="1:18" ht="42.75">
      <c r="A20" s="646"/>
      <c r="B20" s="2408" t="s">
        <v>2110</v>
      </c>
      <c r="C20" s="2406" t="str">
        <f>C9</f>
        <v>区域自然环境较好；人文环境较好；综合评价环境状况较好</v>
      </c>
      <c r="D20" s="2377"/>
      <c r="E20" s="2407"/>
      <c r="F20" s="1798" t="s">
        <v>2111</v>
      </c>
      <c r="G20" s="136" t="str">
        <f>G6</f>
        <v>估价对象所在区域基础设施水平</v>
      </c>
    </row>
    <row r="21" spans="1:18" ht="28.5">
      <c r="A21" s="646"/>
      <c r="B21" s="1798" t="s">
        <v>2093</v>
      </c>
      <c r="C21" s="136" t="str">
        <f>C7</f>
        <v>估价对象所在区域公共配套设施齐备</v>
      </c>
      <c r="D21" s="2371"/>
      <c r="E21" s="2407"/>
      <c r="F21" s="2408" t="s">
        <v>2112</v>
      </c>
      <c r="G21" s="2409"/>
    </row>
    <row r="22" spans="1:18" ht="13.5" customHeight="1">
      <c r="A22" s="646"/>
      <c r="B22" s="1798" t="s">
        <v>2096</v>
      </c>
      <c r="C22" s="136" t="str">
        <f>C8</f>
        <v>估价对象所在区域基础设施水平七通</v>
      </c>
      <c r="D22" s="2371"/>
      <c r="E22" s="2407"/>
      <c r="F22" s="2408" t="s">
        <v>2101</v>
      </c>
      <c r="G22" s="1572"/>
    </row>
    <row r="23" spans="1:18" s="2369" customFormat="1" ht="15.75" thickBot="1">
      <c r="A23" s="646"/>
      <c r="B23" s="2408" t="s">
        <v>2112</v>
      </c>
      <c r="C23" s="2409" t="s">
        <v>3092</v>
      </c>
      <c r="D23" s="2396"/>
      <c r="E23" s="2410"/>
      <c r="F23" s="2411" t="s">
        <v>2113</v>
      </c>
      <c r="G23" s="2412"/>
      <c r="H23" s="2396"/>
      <c r="I23" s="2397"/>
      <c r="J23" s="2396"/>
      <c r="K23" s="2396"/>
      <c r="L23" s="2397"/>
      <c r="M23" s="2396"/>
      <c r="N23" s="2396"/>
      <c r="O23" s="2397"/>
      <c r="P23" s="2396"/>
      <c r="Q23" s="2396"/>
      <c r="R23" s="2398"/>
    </row>
    <row r="24" spans="1:18" s="2369"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1" customWidth="1"/>
    <col min="2" max="9" width="15.75" style="1741" customWidth="1"/>
    <col min="10" max="16384" width="9" style="1741"/>
  </cols>
  <sheetData>
    <row r="1" spans="1:10" ht="16.5">
      <c r="A1" s="1746" t="s">
        <v>1366</v>
      </c>
      <c r="B1" s="1746">
        <f>SUM(B14:B23)</f>
        <v>88.84</v>
      </c>
      <c r="C1" s="1745"/>
      <c r="D1" s="1745"/>
      <c r="E1" s="1745"/>
      <c r="F1" s="1745"/>
      <c r="G1" s="1743"/>
    </row>
    <row r="2" spans="1:10" ht="16.5">
      <c r="A2" s="1746" t="s">
        <v>1354</v>
      </c>
      <c r="B2" s="1746">
        <f>SUM(C14:C23)</f>
        <v>0</v>
      </c>
      <c r="C2" s="1745"/>
      <c r="D2" s="1745"/>
      <c r="E2" s="1745"/>
      <c r="F2" s="1745"/>
      <c r="G2" s="1743"/>
    </row>
    <row r="3" spans="1:10" ht="16.5">
      <c r="A3" s="1746" t="s">
        <v>1363</v>
      </c>
      <c r="B3" s="1747">
        <f>项目基本情况!D3</f>
        <v>43040</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1001</v>
      </c>
      <c r="C5" s="1746">
        <f ca="1">ROUND(B5*10000/$B$1,0)</f>
        <v>112674</v>
      </c>
      <c r="D5" s="1746" t="e">
        <f ca="1">ROUND(B5*10000/$B$2,0)</f>
        <v>#DIV/0!</v>
      </c>
      <c r="E5" s="1745"/>
      <c r="F5" s="1743"/>
      <c r="G5" s="1743"/>
    </row>
    <row r="6" spans="1:10" ht="16.5">
      <c r="A6" s="1746" t="s">
        <v>1357</v>
      </c>
      <c r="B6" s="1746">
        <f ca="1">SUM(G14:G23)</f>
        <v>1001</v>
      </c>
      <c r="C6" s="1746">
        <f ca="1">ROUND(B6*10000/$B$1,0)</f>
        <v>112674</v>
      </c>
      <c r="D6" s="1746" t="e">
        <f ca="1">ROUND(B6*10000/$B$2,0)</f>
        <v>#DIV/0!</v>
      </c>
      <c r="E6" s="1745"/>
      <c r="F6" s="1743"/>
      <c r="G6" s="1743"/>
    </row>
    <row r="7" spans="1:10" ht="16.5">
      <c r="A7" s="1746" t="s">
        <v>1365</v>
      </c>
      <c r="B7" s="1746">
        <f>SUM(H14:H23)</f>
        <v>0</v>
      </c>
      <c r="C7" s="1746">
        <f>ROUND(B7*10000/$B$1,0)</f>
        <v>0</v>
      </c>
      <c r="D7" s="1746" t="e">
        <f>ROUND(B7*10000/$B$2,0)</f>
        <v>#DIV/0!</v>
      </c>
      <c r="E7" s="1745"/>
      <c r="F7" s="1743"/>
      <c r="G7" s="1743"/>
    </row>
    <row r="8" spans="1:10" ht="16.5">
      <c r="A8" s="1746" t="s">
        <v>1286</v>
      </c>
      <c r="B8" s="1746">
        <f>SUM(I14:I23)</f>
        <v>0</v>
      </c>
      <c r="C8" s="1746">
        <f>ROUND(B8*10000/$B$1,0)</f>
        <v>0</v>
      </c>
      <c r="D8" s="1746" t="e">
        <f>ROUND(B8*10000/$B$2,0)</f>
        <v>#DIV/0!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'数据-汇总表'!E3</f>
        <v>88.84</v>
      </c>
      <c r="C14" s="1744">
        <f>'数据-汇总表'!D3</f>
        <v>0</v>
      </c>
      <c r="D14" s="1744">
        <f ca="1">结果表!H118</f>
        <v>1001</v>
      </c>
      <c r="E14" s="1744">
        <f ca="1">ROUND(D14*10000/B14,0)</f>
        <v>112674</v>
      </c>
      <c r="F14" s="1744" t="e">
        <f ca="1">ROUND(D14*10000/C14,0)</f>
        <v>#DIV/0!</v>
      </c>
      <c r="G14" s="1744">
        <f ca="1">结果表!D122</f>
        <v>1001</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7" sqref="F37"/>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6" t="s">
        <v>2115</v>
      </c>
      <c r="B1" s="2419"/>
      <c r="C1" s="2420" t="s">
        <v>3046</v>
      </c>
      <c r="D1" s="2419"/>
      <c r="E1" s="2419"/>
      <c r="F1" s="2421" t="s">
        <v>2116</v>
      </c>
      <c r="G1" s="2072" t="s">
        <v>3053</v>
      </c>
      <c r="H1" s="2422" t="str">
        <f>IF(G1="现房","——","估价对象范围")</f>
        <v>——</v>
      </c>
      <c r="I1" s="2423" t="s">
        <v>3144</v>
      </c>
    </row>
    <row r="2" spans="1:12" ht="21.75" customHeight="1" thickBot="1">
      <c r="A2" s="3125" t="str">
        <f>项目基本情况!S2</f>
        <v>北京市西城区真武庙路二条10号楼1层7单元102及103共计两套商业服务用房房地产</v>
      </c>
      <c r="B2" s="3126"/>
      <c r="C2" s="3126"/>
      <c r="D2" s="3126"/>
      <c r="E2" s="3126"/>
      <c r="F2" s="3126"/>
      <c r="G2" s="3126"/>
      <c r="H2" s="3126"/>
      <c r="I2" s="3127"/>
    </row>
    <row r="3" spans="1:12" ht="12.75">
      <c r="A3" s="3128" t="s">
        <v>2117</v>
      </c>
      <c r="B3" s="3129"/>
      <c r="C3" s="3129"/>
      <c r="D3" s="3129"/>
      <c r="E3" s="3129"/>
      <c r="F3" s="3129"/>
      <c r="G3" s="3129"/>
      <c r="H3" s="3129"/>
      <c r="I3" s="3129"/>
    </row>
    <row r="4" spans="1:12" ht="14.25">
      <c r="A4" s="2426" t="s">
        <v>2118</v>
      </c>
      <c r="B4" s="2427" t="s">
        <v>2119</v>
      </c>
      <c r="C4" s="2428" t="s">
        <v>3143</v>
      </c>
      <c r="D4" s="2428" t="s">
        <v>3139</v>
      </c>
      <c r="E4" s="3109" t="s">
        <v>2120</v>
      </c>
      <c r="F4" s="3122"/>
      <c r="G4" s="3122"/>
      <c r="H4" s="3122"/>
      <c r="I4" s="3110"/>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2121</v>
      </c>
      <c r="B5" s="3026">
        <v>25</v>
      </c>
      <c r="C5" s="3130"/>
      <c r="D5" s="3118"/>
      <c r="E5" s="140" t="s">
        <v>2122</v>
      </c>
      <c r="F5" s="2430"/>
      <c r="G5" s="2430"/>
      <c r="H5" s="2430"/>
      <c r="I5" s="1834"/>
    </row>
    <row r="6" spans="1:12" ht="12.75">
      <c r="A6" s="3100"/>
      <c r="B6" s="3026"/>
      <c r="C6" s="3132"/>
      <c r="D6" s="3118"/>
      <c r="E6" s="140" t="s">
        <v>2123</v>
      </c>
      <c r="F6" s="2430"/>
      <c r="G6" s="2430"/>
      <c r="H6" s="2430"/>
      <c r="I6" s="1834"/>
    </row>
    <row r="7" spans="1:12" ht="12.75">
      <c r="A7" s="3100"/>
      <c r="B7" s="3026"/>
      <c r="C7" s="3131"/>
      <c r="D7" s="3118"/>
      <c r="E7" s="140" t="s">
        <v>2124</v>
      </c>
      <c r="F7" s="2430"/>
      <c r="G7" s="2430"/>
      <c r="H7" s="2430"/>
      <c r="I7" s="1834"/>
    </row>
    <row r="8" spans="1:12" ht="12.75">
      <c r="A8" s="3100" t="s">
        <v>2125</v>
      </c>
      <c r="B8" s="3026">
        <v>15</v>
      </c>
      <c r="C8" s="3130"/>
      <c r="D8" s="3118"/>
      <c r="E8" s="140" t="s">
        <v>2126</v>
      </c>
      <c r="F8" s="2430"/>
      <c r="G8" s="2430"/>
      <c r="H8" s="2430"/>
      <c r="I8" s="1834"/>
    </row>
    <row r="9" spans="1:12" ht="12.75">
      <c r="A9" s="3100"/>
      <c r="B9" s="3026"/>
      <c r="C9" s="3131"/>
      <c r="D9" s="3118"/>
      <c r="E9" s="140" t="s">
        <v>2127</v>
      </c>
      <c r="F9" s="2430"/>
      <c r="G9" s="2430"/>
      <c r="H9" s="2430"/>
      <c r="I9" s="1834"/>
    </row>
    <row r="10" spans="1:12" ht="12.75">
      <c r="A10" s="3100" t="s">
        <v>2128</v>
      </c>
      <c r="B10" s="3026">
        <v>15</v>
      </c>
      <c r="C10" s="3130"/>
      <c r="D10" s="3118"/>
      <c r="E10" s="140" t="s">
        <v>2129</v>
      </c>
      <c r="F10" s="2430"/>
      <c r="G10" s="2430"/>
      <c r="H10" s="2430"/>
      <c r="I10" s="1834"/>
    </row>
    <row r="11" spans="1:12" ht="12.75">
      <c r="A11" s="3100"/>
      <c r="B11" s="3026"/>
      <c r="C11" s="3131"/>
      <c r="D11" s="3118"/>
      <c r="E11" s="140" t="s">
        <v>2130</v>
      </c>
      <c r="F11" s="2430"/>
      <c r="G11" s="2430"/>
      <c r="H11" s="2430"/>
      <c r="I11" s="1834"/>
    </row>
    <row r="12" spans="1:12" ht="12.75">
      <c r="A12" s="3100" t="s">
        <v>2131</v>
      </c>
      <c r="B12" s="3026">
        <v>15</v>
      </c>
      <c r="C12" s="3130"/>
      <c r="D12" s="3118"/>
      <c r="E12" s="140" t="s">
        <v>2132</v>
      </c>
      <c r="F12" s="2430"/>
      <c r="G12" s="2430"/>
      <c r="H12" s="2430"/>
      <c r="I12" s="1834"/>
    </row>
    <row r="13" spans="1:12" ht="12.75">
      <c r="A13" s="3100"/>
      <c r="B13" s="3026"/>
      <c r="C13" s="3131"/>
      <c r="D13" s="3118"/>
      <c r="E13" s="140" t="s">
        <v>2133</v>
      </c>
      <c r="F13" s="2430"/>
      <c r="G13" s="2430"/>
      <c r="H13" s="2430"/>
      <c r="I13" s="1834"/>
    </row>
    <row r="14" spans="1:12" ht="12.75">
      <c r="A14" s="3100" t="s">
        <v>2134</v>
      </c>
      <c r="B14" s="3026">
        <v>30</v>
      </c>
      <c r="C14" s="3130">
        <v>0.7</v>
      </c>
      <c r="D14" s="3118">
        <f>1-C14</f>
        <v>0.30000000000000004</v>
      </c>
      <c r="E14" s="140" t="s">
        <v>2135</v>
      </c>
      <c r="F14" s="2430"/>
      <c r="G14" s="2430"/>
      <c r="H14" s="2430"/>
      <c r="I14" s="1834"/>
    </row>
    <row r="15" spans="1:12" ht="12.75">
      <c r="A15" s="3100"/>
      <c r="B15" s="3026"/>
      <c r="C15" s="3132"/>
      <c r="D15" s="3118"/>
      <c r="E15" s="140" t="s">
        <v>2136</v>
      </c>
      <c r="F15" s="2430"/>
      <c r="G15" s="2430"/>
      <c r="H15" s="2430"/>
      <c r="I15" s="1834"/>
    </row>
    <row r="16" spans="1:12" ht="12.75">
      <c r="A16" s="3100"/>
      <c r="B16" s="3026"/>
      <c r="C16" s="3131"/>
      <c r="D16" s="3118"/>
      <c r="E16" s="140" t="s">
        <v>2137</v>
      </c>
      <c r="F16" s="2430"/>
      <c r="G16" s="2430"/>
      <c r="H16" s="2430"/>
      <c r="I16" s="1834"/>
    </row>
    <row r="17" spans="1:35" ht="15">
      <c r="A17" s="2431" t="s">
        <v>2138</v>
      </c>
      <c r="B17" s="64"/>
      <c r="C17" s="141">
        <f>SUM(C5:C16)</f>
        <v>0.7</v>
      </c>
      <c r="D17" s="141">
        <f>SUM(D5:D16)</f>
        <v>0.30000000000000004</v>
      </c>
      <c r="E17" s="138"/>
      <c r="F17" s="138"/>
      <c r="G17" s="138"/>
      <c r="H17" s="138"/>
      <c r="I17" s="138"/>
      <c r="K17" s="2429"/>
      <c r="L17" s="2432" t="s">
        <v>2139</v>
      </c>
      <c r="M17" s="2432" t="s">
        <v>2140</v>
      </c>
    </row>
    <row r="18" spans="1:35" ht="15.75" thickBot="1">
      <c r="A18" s="2433" t="s">
        <v>2141</v>
      </c>
      <c r="B18" s="2434"/>
      <c r="C18" s="142">
        <f>ROUND(C17/SUM(C17:D17),2)</f>
        <v>0.7</v>
      </c>
      <c r="D18" s="142">
        <f>1-C18</f>
        <v>0.30000000000000004</v>
      </c>
      <c r="E18" s="138"/>
      <c r="F18" s="138"/>
      <c r="G18" s="138"/>
      <c r="H18" s="138"/>
      <c r="I18" s="138"/>
      <c r="K18" s="2429" t="s">
        <v>2142</v>
      </c>
      <c r="L18" s="2429">
        <f>IF(C1="",'数据-汇总表'!E3,SUMIF(项目类型,C1,'数据-汇总表'!E17:E26)+SUMIF(项目类型,C1,'数据-汇总表'!I17:I26))</f>
        <v>88.84</v>
      </c>
      <c r="M18" s="2429">
        <f>IF(C1="",'数据-汇总表'!E3,SUMIF(项目类型,C1,'数据-汇总表'!E17:E26))</f>
        <v>88.84</v>
      </c>
    </row>
    <row r="19" spans="1:35" ht="15">
      <c r="A19" s="2435" t="s">
        <v>2143</v>
      </c>
      <c r="B19" s="2436" t="s">
        <v>2144</v>
      </c>
      <c r="C19" s="143">
        <f ca="1">SUMIF(INDIRECT("'"&amp;C4&amp;"'"&amp;"!A:A"),结果表!B19,INDIRECT("'"&amp;C4&amp;"'"&amp;"!B:B"))</f>
        <v>1218</v>
      </c>
      <c r="D19" s="144">
        <f ca="1">SUMIF(INDIRECT("'"&amp;D4&amp;"'"&amp;"!A:A"),结果表!B19,INDIRECT("'"&amp;D4&amp;"'"&amp;"!B:B"))</f>
        <v>493</v>
      </c>
      <c r="E19" s="2435" t="s">
        <v>2145</v>
      </c>
      <c r="F19" s="2436" t="s">
        <v>2144</v>
      </c>
      <c r="G19" s="145">
        <f ca="1">ROUND(C19*$C$18+D19*$D$18,0)</f>
        <v>1001</v>
      </c>
      <c r="H19" s="2437" t="s">
        <v>2146</v>
      </c>
      <c r="I19" s="138"/>
      <c r="K19" s="2429" t="s">
        <v>2147</v>
      </c>
      <c r="L19" s="2429">
        <f>IF(C1="",'数据-汇总表'!D3,SUMIF(项目类型,C1,'数据-汇总表'!D17:D26)+SUMIF(项目类型,C1,'数据-汇总表'!H17:H27))</f>
        <v>0</v>
      </c>
      <c r="M19" s="2429">
        <f>IF(C1="",'数据-汇总表'!D3,SUMIF(项目类型,C1,'数据-汇总表'!D17:D26))</f>
        <v>0</v>
      </c>
    </row>
    <row r="20" spans="1:35" ht="15">
      <c r="A20" s="2438"/>
      <c r="B20" s="1249" t="s">
        <v>2148</v>
      </c>
      <c r="C20" s="146">
        <f ca="1">SUMIF(INDIRECT("'"&amp;C4&amp;"'"&amp;"!A:A"),结果表!B20,INDIRECT("'"&amp;C4&amp;"'"&amp;"!B:B"))</f>
        <v>137105</v>
      </c>
      <c r="D20" s="147">
        <f ca="1">SUMIF(INDIRECT("'"&amp;D4&amp;"'"&amp;"!A:A"),结果表!B20,INDIRECT("'"&amp;D4&amp;"'"&amp;"!B:B"))</f>
        <v>55472</v>
      </c>
      <c r="E20" s="2438"/>
      <c r="F20" s="1249" t="s">
        <v>2148</v>
      </c>
      <c r="G20" s="148">
        <f ca="1">ROUND(C20*$C$18+D20*$D$18,0)</f>
        <v>112615</v>
      </c>
      <c r="H20" s="982" t="s">
        <v>2149</v>
      </c>
      <c r="I20" s="138"/>
    </row>
    <row r="21" spans="1:35" ht="15" customHeight="1" thickBot="1">
      <c r="A21" s="1002"/>
      <c r="B21" s="2439" t="s">
        <v>2150</v>
      </c>
      <c r="C21" s="788" t="e">
        <f ca="1">ROUND(C19*10000/L19,0)</f>
        <v>#DIV/0!</v>
      </c>
      <c r="D21" s="789" t="e">
        <f ca="1">ROUND(D19*10000/L19,0)</f>
        <v>#DIV/0!</v>
      </c>
      <c r="E21" s="1002"/>
      <c r="F21" s="2439" t="s">
        <v>2150</v>
      </c>
      <c r="G21" s="149" t="e">
        <f ca="1">ROUND(G19*10000/L19,0)</f>
        <v>#DIV/0!</v>
      </c>
      <c r="H21" s="2440" t="s">
        <v>2149</v>
      </c>
      <c r="I21" s="138"/>
    </row>
    <row r="22" spans="1:35" ht="15" thickBot="1">
      <c r="A22" s="2282" t="s">
        <v>2151</v>
      </c>
      <c r="B22" s="2441"/>
      <c r="C22" s="2442"/>
      <c r="D22" s="790">
        <f ca="1">IF(C19&lt;D19,D19/C19-1,C19/D19-1)</f>
        <v>1.4705882352941178</v>
      </c>
      <c r="E22" s="138"/>
      <c r="F22" s="138"/>
      <c r="G22" s="138"/>
      <c r="H22" s="138"/>
      <c r="I22" s="138"/>
    </row>
    <row r="23" spans="1:35" ht="13.5" thickBot="1">
      <c r="A23" s="2419"/>
      <c r="B23" s="2419"/>
      <c r="C23" s="2419"/>
      <c r="D23" s="2419"/>
      <c r="E23" s="138"/>
      <c r="F23" s="138"/>
      <c r="G23" s="138"/>
      <c r="H23" s="138"/>
      <c r="I23" s="138"/>
    </row>
    <row r="24" spans="1:35" ht="14.25">
      <c r="A24" s="3139" t="s">
        <v>2152</v>
      </c>
      <c r="B24" s="2436" t="s">
        <v>2144</v>
      </c>
      <c r="C24" s="145">
        <f>IF(B30=0,0,D30)</f>
        <v>0</v>
      </c>
      <c r="D24" s="2443"/>
      <c r="E24" s="138"/>
      <c r="F24" s="138"/>
      <c r="G24" s="138"/>
      <c r="H24" s="138"/>
      <c r="I24" s="138"/>
    </row>
    <row r="25" spans="1:35" ht="14.25">
      <c r="A25" s="3140"/>
      <c r="B25" s="1249"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2157</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2158</v>
      </c>
      <c r="B32" s="2449"/>
      <c r="C32" s="154">
        <f ca="1">IF(D32="总价",G19-C24,G20-C25)</f>
        <v>1001</v>
      </c>
      <c r="D32" s="2450" t="s">
        <v>2159</v>
      </c>
      <c r="E32" s="138"/>
      <c r="F32" s="138"/>
      <c r="G32" s="138"/>
      <c r="H32" s="138"/>
      <c r="I32" s="138"/>
    </row>
    <row r="33" spans="1:15" ht="15">
      <c r="A33" s="959" t="s">
        <v>2160</v>
      </c>
      <c r="B33" s="2451"/>
      <c r="C33" s="2452" t="s">
        <v>3154</v>
      </c>
      <c r="D33" s="2453" t="s">
        <v>3139</v>
      </c>
      <c r="E33" s="2454" t="s">
        <v>2161</v>
      </c>
      <c r="F33" s="2455" t="str">
        <f>IF(D32="楼面单价","取值（单价）","取值（总价）")</f>
        <v>取值（总价）</v>
      </c>
      <c r="G33" s="138"/>
      <c r="H33" s="138"/>
      <c r="I33" s="138"/>
    </row>
    <row r="34" spans="1:15" ht="15">
      <c r="A34" s="2456"/>
      <c r="B34" s="2457" t="s">
        <v>2162</v>
      </c>
      <c r="C34" s="158">
        <f ca="1">IF(C33="自定义",F34,C32-C35)</f>
        <v>778</v>
      </c>
      <c r="D34" s="1057">
        <f ca="1">IF(C33="自定义",ROUND(C34/C32,3),IF(C33="收益比率",SUMIF(INDIRECT("'"&amp;D33&amp;"'"&amp;"!b:b"),"土地收益比率",INDIRECT("'"&amp;D33&amp;"'"&amp;"!c:c")),SUMIF(INDIRECT("'"&amp;D33&amp;"'"&amp;"!b:b"),"土地成本比率",INDIRECT("'"&amp;D33&amp;"'"&amp;"!c:c"))))</f>
        <v>0.77700000000000002</v>
      </c>
      <c r="E34" s="2458" t="s">
        <v>2163</v>
      </c>
      <c r="F34" s="1739"/>
      <c r="G34" s="138"/>
      <c r="H34" s="138"/>
      <c r="I34" s="138"/>
    </row>
    <row r="35" spans="1:15" ht="15.75" thickBot="1">
      <c r="A35" s="2459"/>
      <c r="B35" s="2460" t="s">
        <v>2164</v>
      </c>
      <c r="C35" s="1443">
        <f ca="1">IF(C33="自定义",F35,ROUND(C32*D35,0))</f>
        <v>223</v>
      </c>
      <c r="D35" s="1444">
        <f ca="1">IF(C33="自定义",ROUND(C35/C32,3),IF(C33="收益比率",SUMIF(INDIRECT("'"&amp;D33&amp;"'"&amp;"!b:b"),"建筑物收益比率",INDIRECT("'"&amp;D33&amp;"'"&amp;"!c:c")),SUMIF(INDIRECT("'"&amp;D33&amp;"'"&amp;"!b:b"),"建筑物成本比率",INDIRECT("'"&amp;D33&amp;"'"&amp;"!c:c"))))</f>
        <v>0.223</v>
      </c>
      <c r="E35" s="2461" t="s">
        <v>2165</v>
      </c>
      <c r="F35" s="164"/>
      <c r="G35" s="138"/>
      <c r="H35" s="138"/>
      <c r="I35" s="138"/>
    </row>
    <row r="36" spans="1:15" ht="15.75" thickBot="1">
      <c r="A36" s="3119" t="s">
        <v>2166</v>
      </c>
      <c r="B36" s="2462" t="s">
        <v>2167</v>
      </c>
      <c r="C36" s="155"/>
      <c r="D36" s="2463"/>
      <c r="E36" s="2464"/>
      <c r="F36" s="2465"/>
      <c r="G36" s="138"/>
      <c r="H36" s="138"/>
      <c r="I36" s="138"/>
    </row>
    <row r="37" spans="1:15" ht="15.75" thickBot="1">
      <c r="A37" s="3120"/>
      <c r="B37" s="2268" t="s">
        <v>2168</v>
      </c>
      <c r="C37" s="157"/>
      <c r="D37" s="1394"/>
      <c r="E37" s="1394"/>
      <c r="F37" s="2465"/>
      <c r="G37" s="138"/>
      <c r="H37" s="138"/>
      <c r="I37" s="138"/>
    </row>
    <row r="38" spans="1:15" ht="15.75" thickBot="1">
      <c r="A38" s="3121"/>
      <c r="B38" s="2466" t="s">
        <v>2169</v>
      </c>
      <c r="C38" s="726"/>
      <c r="D38" s="2467" t="s">
        <v>2170</v>
      </c>
      <c r="E38" s="1394"/>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9"/>
      <c r="C40" s="160"/>
      <c r="D40" s="160"/>
      <c r="E40" s="161"/>
      <c r="F40" s="2465"/>
      <c r="G40" s="138"/>
      <c r="H40" s="138"/>
      <c r="I40" s="138"/>
    </row>
    <row r="41" spans="1:15" ht="14.25">
      <c r="A41" s="2471" t="s">
        <v>2177</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36" t="s">
        <v>2180</v>
      </c>
      <c r="B45" s="3137"/>
      <c r="C45" s="3138"/>
      <c r="D45" s="165">
        <f ca="1">ROUND(H101*F45,0)</f>
        <v>1001</v>
      </c>
      <c r="E45" s="166" t="s">
        <v>2181</v>
      </c>
      <c r="F45" s="167">
        <v>1</v>
      </c>
      <c r="G45" s="168" t="s">
        <v>2182</v>
      </c>
      <c r="H45" s="138"/>
      <c r="I45" s="138"/>
      <c r="J45" s="3055" t="s">
        <v>2183</v>
      </c>
      <c r="K45" s="3055"/>
      <c r="L45" s="3055"/>
      <c r="M45" s="3055"/>
      <c r="N45" s="3055"/>
      <c r="O45" s="3055"/>
    </row>
    <row r="46" spans="1:15" ht="14.25" customHeight="1">
      <c r="A46" s="3133" t="s">
        <v>2184</v>
      </c>
      <c r="B46" s="3134"/>
      <c r="C46" s="3134"/>
      <c r="D46" s="3134"/>
      <c r="E46" s="3134"/>
      <c r="F46" s="3134"/>
      <c r="G46" s="3135"/>
      <c r="H46" s="2481"/>
      <c r="I46" s="169"/>
      <c r="J46" s="1812">
        <v>1</v>
      </c>
      <c r="K46" s="3055" t="s">
        <v>2185</v>
      </c>
      <c r="L46" s="3055"/>
      <c r="M46" s="3056"/>
      <c r="N46" s="3056"/>
      <c r="O46" s="3056"/>
    </row>
    <row r="47" spans="1:15" ht="12" customHeight="1">
      <c r="A47" s="170" t="s">
        <v>2186</v>
      </c>
      <c r="B47" s="171"/>
      <c r="C47" s="172"/>
      <c r="D47" s="173" t="s">
        <v>2187</v>
      </c>
      <c r="E47" s="24" t="s">
        <v>2188</v>
      </c>
      <c r="F47" s="174" t="s">
        <v>2189</v>
      </c>
      <c r="G47" s="175" t="s">
        <v>2190</v>
      </c>
      <c r="H47" s="2481"/>
      <c r="I47" s="169"/>
      <c r="J47" s="1812">
        <v>2</v>
      </c>
      <c r="K47" s="3055" t="s">
        <v>2191</v>
      </c>
      <c r="L47" s="3055"/>
      <c r="M47" s="3057">
        <f>'数据-取费表'!B2</f>
        <v>43040</v>
      </c>
      <c r="N47" s="3057"/>
      <c r="O47" s="3057"/>
    </row>
    <row r="48" spans="1:15" ht="25.5">
      <c r="A48" s="3123" t="s">
        <v>2192</v>
      </c>
      <c r="B48" s="3124"/>
      <c r="C48" s="3124"/>
      <c r="D48" s="140">
        <f>IF(H48="情况1",0,IF(H48="情况2",D52,IF(H48="情况3",D53,IF(H48="情况4",D54))))</f>
        <v>0</v>
      </c>
      <c r="E48" s="1801" t="str">
        <f>IF(H48="情况4","(销售额-原购置价)×税（费）率","销售额×税（费）率")</f>
        <v>销售额×税（费）率</v>
      </c>
      <c r="F48" s="176" t="str">
        <f>IF(H48="情况1","免征",'数据-取费表'!B41)</f>
        <v>免征</v>
      </c>
      <c r="G48" s="2482" t="s">
        <v>2193</v>
      </c>
      <c r="H48" s="2483" t="s">
        <v>2194</v>
      </c>
      <c r="I48" s="2481"/>
      <c r="J48" s="1812">
        <v>3</v>
      </c>
      <c r="K48" s="3055" t="s">
        <v>2195</v>
      </c>
      <c r="L48" s="3055"/>
      <c r="M48" s="3058">
        <f ca="1">H101</f>
        <v>1001</v>
      </c>
      <c r="N48" s="3058"/>
      <c r="O48" s="3058"/>
    </row>
    <row r="49" spans="1:35" ht="25.5" customHeight="1">
      <c r="A49" s="177" t="s">
        <v>2196</v>
      </c>
      <c r="B49" s="3103" t="s">
        <v>2197</v>
      </c>
      <c r="C49" s="3103"/>
      <c r="D49" s="178">
        <v>0</v>
      </c>
      <c r="E49" s="23" t="s">
        <v>2198</v>
      </c>
      <c r="F49" s="28" t="s">
        <v>34</v>
      </c>
      <c r="G49" s="3084"/>
      <c r="H49" s="138"/>
      <c r="I49" s="2484"/>
      <c r="J49" s="1812">
        <v>4</v>
      </c>
      <c r="K49" s="3055" t="str">
        <f>IF(项目基本情况!E8="房地产抵押价值","房地产抵押价值","抵押担保权已注销时的房地产抵押价值")</f>
        <v>房地产抵押价值</v>
      </c>
      <c r="L49" s="3055"/>
      <c r="M49" s="3058">
        <f ca="1">IF(项目基本情况!E8="房地产抵押价值",H107,H109)</f>
        <v>1001</v>
      </c>
      <c r="N49" s="3058"/>
      <c r="O49" s="3058"/>
    </row>
    <row r="50" spans="1:35" ht="25.5" customHeight="1">
      <c r="A50" s="179"/>
      <c r="B50" s="3103" t="s">
        <v>2199</v>
      </c>
      <c r="C50" s="3103"/>
      <c r="D50" s="180"/>
      <c r="E50" s="31"/>
      <c r="F50" s="181"/>
      <c r="G50" s="3085"/>
      <c r="H50" s="138"/>
      <c r="I50" s="2484"/>
      <c r="J50" s="3055" t="s">
        <v>2200</v>
      </c>
      <c r="K50" s="3055"/>
      <c r="L50" s="3055"/>
      <c r="M50" s="3055"/>
      <c r="N50" s="3055"/>
      <c r="O50" s="3055"/>
    </row>
    <row r="51" spans="1:35" ht="12" customHeight="1">
      <c r="A51" s="182"/>
      <c r="B51" s="3103" t="s">
        <v>2201</v>
      </c>
      <c r="C51" s="3103"/>
      <c r="D51" s="183"/>
      <c r="E51" s="30"/>
      <c r="F51" s="181"/>
      <c r="G51" s="3086"/>
      <c r="H51" s="138"/>
      <c r="I51" s="2484"/>
      <c r="J51" s="2485" t="s">
        <v>2202</v>
      </c>
      <c r="K51" s="3055" t="s">
        <v>2203</v>
      </c>
      <c r="L51" s="3055"/>
      <c r="M51" s="2485" t="s">
        <v>2204</v>
      </c>
      <c r="N51" s="2485" t="s">
        <v>2205</v>
      </c>
      <c r="O51" s="2485" t="s">
        <v>2206</v>
      </c>
    </row>
    <row r="52" spans="1:35" ht="24" customHeight="1">
      <c r="A52" s="184" t="s">
        <v>2207</v>
      </c>
      <c r="B52" s="3103" t="s">
        <v>2208</v>
      </c>
      <c r="C52" s="3103"/>
      <c r="D52" s="183">
        <f ca="1">ROUND(D45*'数据-取费表'!B41/(1+'数据-取费表'!C42),0)</f>
        <v>53</v>
      </c>
      <c r="E52" s="11" t="s">
        <v>2209</v>
      </c>
      <c r="F52" s="185">
        <f>'数据-取费表'!B41</f>
        <v>5.6000000000000001E-2</v>
      </c>
      <c r="G52" s="2486"/>
      <c r="H52" s="138"/>
      <c r="I52" s="2484"/>
      <c r="J52" s="1812">
        <v>1</v>
      </c>
      <c r="K52" s="3078" t="s">
        <v>2210</v>
      </c>
      <c r="L52" s="3078"/>
      <c r="M52" s="1754">
        <f>D48</f>
        <v>0</v>
      </c>
      <c r="N52" s="1812" t="str">
        <f>E48</f>
        <v>销售额×税（费）率</v>
      </c>
      <c r="O52" s="1755" t="str">
        <f>F48</f>
        <v>免征</v>
      </c>
    </row>
    <row r="53" spans="1:35" ht="12" customHeight="1">
      <c r="A53" s="184" t="s">
        <v>2211</v>
      </c>
      <c r="B53" s="3104" t="s">
        <v>2212</v>
      </c>
      <c r="C53" s="3105"/>
      <c r="D53" s="183">
        <f ca="1">ROUND(D45*'数据-取费表'!B41/(1+'数据-取费表'!C42),0)</f>
        <v>53</v>
      </c>
      <c r="E53" s="11" t="s">
        <v>2209</v>
      </c>
      <c r="F53" s="185">
        <f>'数据-取费表'!B41</f>
        <v>5.6000000000000001E-2</v>
      </c>
      <c r="G53" s="2486"/>
      <c r="H53" s="138"/>
      <c r="I53" s="2484"/>
      <c r="J53" s="1812">
        <v>2</v>
      </c>
      <c r="K53" s="3078" t="s">
        <v>2213</v>
      </c>
      <c r="L53" s="3078"/>
      <c r="M53" s="1754">
        <f t="shared" ref="M53:O54" ca="1" si="0">D55</f>
        <v>1</v>
      </c>
      <c r="N53" s="1812" t="str">
        <f t="shared" si="0"/>
        <v>销售额×税（费）率</v>
      </c>
      <c r="O53" s="1755">
        <f t="shared" si="0"/>
        <v>5.0000000000000001E-4</v>
      </c>
    </row>
    <row r="54" spans="1:35" ht="12" customHeight="1">
      <c r="A54" s="184" t="s">
        <v>2214</v>
      </c>
      <c r="B54" s="3104" t="s">
        <v>2215</v>
      </c>
      <c r="C54" s="3105"/>
      <c r="D54" s="183">
        <f ca="1">C68</f>
        <v>53</v>
      </c>
      <c r="E54" s="30" t="s">
        <v>2216</v>
      </c>
      <c r="F54" s="185">
        <f>'数据-取费表'!B41</f>
        <v>5.6000000000000001E-2</v>
      </c>
      <c r="G54" s="2486"/>
      <c r="H54" s="2487"/>
      <c r="I54" s="2484"/>
      <c r="J54" s="1812">
        <v>3</v>
      </c>
      <c r="K54" s="3078" t="s">
        <v>2217</v>
      </c>
      <c r="L54" s="3078"/>
      <c r="M54" s="1754">
        <f t="shared" ca="1" si="0"/>
        <v>566</v>
      </c>
      <c r="N54" s="1812" t="str">
        <f t="shared" si="0"/>
        <v>增值额×税（费）率</v>
      </c>
      <c r="O54" s="1756" t="str">
        <f t="shared" si="0"/>
        <v>——</v>
      </c>
    </row>
    <row r="55" spans="1:35" ht="24" customHeight="1">
      <c r="A55" s="3142" t="s">
        <v>2218</v>
      </c>
      <c r="B55" s="3124"/>
      <c r="C55" s="3124"/>
      <c r="D55" s="186">
        <f ca="1">IF(H55="个人住宅",0,ROUND(D45*I55,0))</f>
        <v>1</v>
      </c>
      <c r="E55" s="11" t="s">
        <v>2219</v>
      </c>
      <c r="F55" s="185">
        <f>IF(H55="正常",I55,"免征")</f>
        <v>5.0000000000000001E-4</v>
      </c>
      <c r="G55" s="2486"/>
      <c r="H55" s="2483" t="s">
        <v>2220</v>
      </c>
      <c r="I55" s="187">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2" t="s">
        <v>2221</v>
      </c>
      <c r="B56" s="3124"/>
      <c r="C56" s="3124"/>
      <c r="D56" s="186">
        <f ca="1">IF(H56="个人住宅",D57,D58)</f>
        <v>566</v>
      </c>
      <c r="E56" s="11" t="s">
        <v>2222</v>
      </c>
      <c r="F56" s="185" t="str">
        <f>IF(H56="正常",F58,"免征")</f>
        <v>——</v>
      </c>
      <c r="G56" s="2488" t="s">
        <v>2223</v>
      </c>
      <c r="H56" s="2489" t="s">
        <v>2220</v>
      </c>
      <c r="I56" s="2490"/>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4" t="s">
        <v>2196</v>
      </c>
      <c r="B57" s="3109" t="s">
        <v>2224</v>
      </c>
      <c r="C57" s="3110"/>
      <c r="D57" s="188">
        <v>0</v>
      </c>
      <c r="E57" s="23" t="s">
        <v>2198</v>
      </c>
      <c r="F57" s="156"/>
      <c r="G57" s="2486"/>
      <c r="H57" s="2490"/>
      <c r="I57" s="2490"/>
      <c r="J57" s="3078">
        <f>IF(AND(J55="",J56=""),4,IF(项目基本情况!K6="上海银行",结果表!J56+1,结果表!J55+1))</f>
        <v>4</v>
      </c>
      <c r="K57" s="3078" t="s">
        <v>2225</v>
      </c>
      <c r="L57" s="2491" t="s">
        <v>2226</v>
      </c>
      <c r="M57" s="1759"/>
      <c r="N57" s="1760">
        <f ca="1">SUMIF(M52:M56,"&lt;9e307")</f>
        <v>567</v>
      </c>
      <c r="O57" s="2492"/>
      <c r="P57" s="1753">
        <f ca="1">N57/M49</f>
        <v>0.56643356643356646</v>
      </c>
    </row>
    <row r="58" spans="1:35" ht="24.75">
      <c r="A58" s="184" t="s">
        <v>2207</v>
      </c>
      <c r="B58" s="3109" t="s">
        <v>2227</v>
      </c>
      <c r="C58" s="3122"/>
      <c r="D58" s="186">
        <f ca="1">IF(H58="转让取得",C81,C97)</f>
        <v>566</v>
      </c>
      <c r="E58" s="11" t="s">
        <v>2222</v>
      </c>
      <c r="F58" s="24" t="s">
        <v>34</v>
      </c>
      <c r="G58" s="2486"/>
      <c r="H58" s="2489" t="s">
        <v>2228</v>
      </c>
      <c r="I58" s="2490"/>
      <c r="J58" s="3078"/>
      <c r="K58" s="3078"/>
      <c r="L58" s="2491" t="s">
        <v>2229</v>
      </c>
      <c r="M58" s="1761"/>
      <c r="N58" s="2493" t="str">
        <f ca="1">NUMBERSTRING(INT(N57*10000),2)&amp;"元整"</f>
        <v>伍佰陆拾柒万元整</v>
      </c>
      <c r="O58" s="2494"/>
    </row>
    <row r="59" spans="1:35" ht="24.75" thickBot="1">
      <c r="A59" s="3082" t="s">
        <v>2230</v>
      </c>
      <c r="B59" s="3083"/>
      <c r="C59" s="3083"/>
      <c r="D59" s="189" t="str">
        <f>IF(H59="非个人房产","——",IF(H59="个人住宅",0,ROUND(D45*I59,0)))</f>
        <v>——</v>
      </c>
      <c r="E59" s="190" t="str">
        <f>IF(H59="非个人房产","——","销售额×税（费）率")</f>
        <v>——</v>
      </c>
      <c r="F59" s="191" t="str">
        <f>IF(H59="非个人房产","——",IF(H59="个人住宅","免征",I59))</f>
        <v>——</v>
      </c>
      <c r="G59" s="2495" t="s">
        <v>2223</v>
      </c>
      <c r="H59" s="2489" t="s">
        <v>2231</v>
      </c>
      <c r="I59" s="192">
        <v>0.01</v>
      </c>
      <c r="J59" s="3080">
        <f>J57+1</f>
        <v>5</v>
      </c>
      <c r="K59" s="3078" t="s">
        <v>2232</v>
      </c>
      <c r="L59" s="1812" t="s">
        <v>2226</v>
      </c>
      <c r="M59" s="1762"/>
      <c r="N59" s="1763">
        <f ca="1">M49-N57</f>
        <v>434</v>
      </c>
      <c r="O59" s="2496"/>
    </row>
    <row r="60" spans="1:35" ht="12" customHeight="1">
      <c r="A60" s="2497"/>
      <c r="B60" s="2419"/>
      <c r="C60" s="2419"/>
      <c r="D60" s="2419"/>
      <c r="E60" s="2168"/>
      <c r="F60" s="2490"/>
      <c r="G60" s="2490"/>
      <c r="H60" s="2498"/>
      <c r="I60" s="138"/>
      <c r="J60" s="3081"/>
      <c r="K60" s="3078"/>
      <c r="L60" s="2491" t="s">
        <v>2229</v>
      </c>
      <c r="M60" s="1761"/>
      <c r="N60" s="2493" t="str">
        <f ca="1">NUMBERSTRING(INT(N59*10000),2)&amp;"元整"</f>
        <v>肆佰叁拾肆万元整</v>
      </c>
      <c r="O60" s="2494"/>
    </row>
    <row r="61" spans="1:35" ht="13.5" thickBot="1">
      <c r="A61" s="3141" t="s">
        <v>2233</v>
      </c>
      <c r="B61" s="3141"/>
      <c r="C61" s="3141"/>
      <c r="D61" s="3141"/>
      <c r="E61" s="3141"/>
      <c r="F61" s="2490"/>
      <c r="G61" s="2490"/>
      <c r="H61" s="2498"/>
      <c r="I61" s="138"/>
      <c r="J61" s="1812">
        <f>J59+1</f>
        <v>6</v>
      </c>
      <c r="K61" s="3078" t="s">
        <v>2234</v>
      </c>
      <c r="L61" s="3078"/>
      <c r="M61" s="1764"/>
      <c r="N61" s="1765">
        <f ca="1">ROUND(N59*10000/'数据-汇总表'!E3,0)</f>
        <v>48852</v>
      </c>
      <c r="O61" s="2499"/>
    </row>
    <row r="62" spans="1:35" ht="12.75">
      <c r="A62" s="3098" t="s">
        <v>2235</v>
      </c>
      <c r="B62" s="3099"/>
      <c r="C62" s="1804"/>
      <c r="D62" s="1804" t="s">
        <v>2236</v>
      </c>
      <c r="E62" s="193" t="s">
        <v>2237</v>
      </c>
      <c r="F62" s="2490"/>
      <c r="G62" s="2490"/>
      <c r="H62" s="2498"/>
      <c r="I62" s="138"/>
    </row>
    <row r="63" spans="1:35" ht="12.75">
      <c r="A63" s="204" t="s">
        <v>775</v>
      </c>
      <c r="B63" s="194" t="s">
        <v>2238</v>
      </c>
      <c r="C63" s="195">
        <f ca="1">ROUND((C64+C65)/(1+'数据-取费表'!C42),0)</f>
        <v>953</v>
      </c>
      <c r="D63" s="196"/>
      <c r="E63" s="197"/>
      <c r="F63" s="2490"/>
      <c r="G63" s="2490"/>
      <c r="H63" s="2498"/>
      <c r="I63" s="138"/>
      <c r="J63" s="3063" t="s">
        <v>2239</v>
      </c>
      <c r="K63" s="2500" t="s">
        <v>2240</v>
      </c>
      <c r="L63" s="1752">
        <f ca="1">IF(M49&gt;10000,M49*0.5%,IF(AND(M49&gt;1000,M49&lt;=10000),M49*1%,IF(AND(M49&gt;100,M49&lt;=1000),M49*3%,IF(AND(M49&gt;10,M49&lt;=100),M49*5%,M49*8%))))</f>
        <v>10.01</v>
      </c>
      <c r="M63" s="24">
        <f ca="1">ROUND(L63,1)</f>
        <v>10</v>
      </c>
      <c r="Z63" s="2424"/>
      <c r="AI63" s="2425"/>
    </row>
    <row r="64" spans="1:35" ht="14.25" customHeight="1">
      <c r="A64" s="198" t="s">
        <v>770</v>
      </c>
      <c r="B64" s="199" t="s">
        <v>2241</v>
      </c>
      <c r="C64" s="200">
        <f ca="1">D45</f>
        <v>1001</v>
      </c>
      <c r="D64" s="201" t="s">
        <v>32</v>
      </c>
      <c r="E64" s="202"/>
      <c r="F64" s="2490"/>
      <c r="G64" s="2490"/>
      <c r="H64" s="2498"/>
      <c r="I64" s="138"/>
      <c r="J64" s="3063"/>
      <c r="K64" s="2500" t="s">
        <v>2242</v>
      </c>
      <c r="L64" s="1752">
        <f ca="1">IF(M49&gt;2000,M49*0.5%,IF(AND(M49&gt;1000,M49&lt;=2000),M49*0.6%,IF(AND(M49&gt;500,M49&lt;=1000),M49*0.7%,IF(AND(M49&gt;200,M49&lt;=500),M49*0.8%,IF(AND(M49&gt;100,M49&lt;=200),M49*0.9%,IF(AND(M49&gt;50,M49&lt;=100),M49*1%,IF(AND(M49&gt;20,M49&lt;=50),M49*1.5%,IF(AND(M49&gt;10,M49&lt;=20),M49*2%,IF(AND(M49&gt;1,M49&lt;=10),M49*2.5%)))))))))</f>
        <v>6.0060000000000002</v>
      </c>
      <c r="M64" s="24">
        <f ca="1">ROUND(L64,1)</f>
        <v>6</v>
      </c>
      <c r="N64" s="138" t="s">
        <v>2243</v>
      </c>
      <c r="Z64" s="2424"/>
      <c r="AI64" s="2425"/>
    </row>
    <row r="65" spans="1:35" ht="14.25" customHeight="1">
      <c r="A65" s="198" t="s">
        <v>771</v>
      </c>
      <c r="B65" s="199" t="s">
        <v>2244</v>
      </c>
      <c r="C65" s="203"/>
      <c r="D65" s="201"/>
      <c r="E65" s="202"/>
      <c r="F65" s="2490"/>
      <c r="G65" s="2490"/>
      <c r="H65" s="2498"/>
      <c r="I65" s="138"/>
      <c r="J65" s="3063"/>
      <c r="K65" s="2500" t="s">
        <v>2245</v>
      </c>
      <c r="L65" s="1752">
        <f ca="1">IF(M49&gt;1000,M49*0.1%,IF(AND(M49&gt;500,M49&lt;=1000),M49*0.5%,IF(AND(M49&gt;50,M49&lt;=500),M49*1%,IF(AND(M49&gt;1,M49&lt;=50),M49*1.5%))))</f>
        <v>1.0010000000000001</v>
      </c>
      <c r="M65" s="24">
        <f ca="1">ROUND(L65,1)</f>
        <v>1</v>
      </c>
      <c r="N65" s="138" t="s">
        <v>2243</v>
      </c>
      <c r="Z65" s="2424"/>
      <c r="AI65" s="2425"/>
    </row>
    <row r="66" spans="1:35" ht="14.25" customHeight="1">
      <c r="A66" s="204" t="s">
        <v>772</v>
      </c>
      <c r="B66" s="205" t="s">
        <v>2246</v>
      </c>
      <c r="C66" s="206"/>
      <c r="D66" s="207" t="s">
        <v>32</v>
      </c>
      <c r="E66" s="1776" t="s">
        <v>1372</v>
      </c>
      <c r="F66" s="2490"/>
      <c r="G66" s="2490"/>
      <c r="H66" s="2498"/>
      <c r="I66" s="138"/>
      <c r="J66" s="3063"/>
      <c r="K66" s="2500" t="s">
        <v>2247</v>
      </c>
      <c r="L66" s="1752">
        <f ca="1">M49*0.5%</f>
        <v>5.0049999999999999</v>
      </c>
      <c r="M66" s="24">
        <f ca="1">IF(L66&gt;0.5,0.5,ROUND(L66,0))</f>
        <v>0.5</v>
      </c>
      <c r="N66" s="138" t="s">
        <v>2248</v>
      </c>
      <c r="Z66" s="2424"/>
      <c r="AI66" s="2425"/>
    </row>
    <row r="67" spans="1:35" ht="14.25" customHeight="1">
      <c r="A67" s="204" t="s">
        <v>773</v>
      </c>
      <c r="B67" s="205" t="s">
        <v>2249</v>
      </c>
      <c r="C67" s="208">
        <f ca="1">C63-C66</f>
        <v>953</v>
      </c>
      <c r="D67" s="201" t="s">
        <v>32</v>
      </c>
      <c r="E67" s="202"/>
      <c r="F67" s="2490"/>
      <c r="G67" s="2490"/>
      <c r="H67" s="2498"/>
      <c r="I67" s="138"/>
      <c r="J67" s="3063"/>
      <c r="K67" s="2500" t="s">
        <v>2250</v>
      </c>
      <c r="L67" s="1752">
        <f ca="1">IF(M49&gt;=10000,(8.25+(M49-10000)*0.01%),IF(AND(M49&gt;=8000,M49&lt;10000),(7.85+(M49-8000)*0.02%),IF(AND(M49&gt;=5000,M49&lt;8000),(6.65+(M49-5000)*0.04%),IF(AND(M49&gt;=2000,M49&lt;5000),(4.25+(PM49-2000)*0.08%),IF(AND(M49&gt;=1000,M49&lt;2000),(2.75+(M49-1000)*0.15%),IF(AND(M49&gt;=100,M49&lt;1000),(0.5+(M49-100)*0.25%),IF(AND(M49&gt;0,M49&lt;100),M49*0.5%)))))))</f>
        <v>2.7515000000000001</v>
      </c>
      <c r="M67" s="24">
        <f ca="1">ROUND(L67*0.9,1)</f>
        <v>2.5</v>
      </c>
      <c r="Z67" s="2424"/>
      <c r="AI67" s="2425"/>
    </row>
    <row r="68" spans="1:35" ht="14.25" customHeight="1" thickBot="1">
      <c r="A68" s="209" t="s">
        <v>774</v>
      </c>
      <c r="B68" s="210" t="s">
        <v>2251</v>
      </c>
      <c r="C68" s="211">
        <f ca="1">IF(C67&lt;=0,0,ROUND(C67*D68,0))</f>
        <v>53</v>
      </c>
      <c r="D68" s="212">
        <f>'数据-取费表'!B41</f>
        <v>5.6000000000000001E-2</v>
      </c>
      <c r="E68" s="213"/>
      <c r="F68" s="2490"/>
      <c r="G68" s="2490"/>
      <c r="H68" s="2498"/>
      <c r="I68" s="138"/>
      <c r="J68" s="3063"/>
      <c r="K68" s="2500" t="s">
        <v>2252</v>
      </c>
      <c r="L68" s="1752">
        <f ca="1">IF(M49&gt;10000,M49*0.5%,IF(AND(M49&gt;5000,M49&lt;=10000),M49*1%,IF(AND(M49&gt;1000,M49&lt;=5000),M49*2%,IF(AND(M49&gt;200,M49&lt;=1000),M49*3%,M49*5%))))</f>
        <v>20.02</v>
      </c>
      <c r="M68" s="24">
        <f ca="1">ROUND(L68,1)</f>
        <v>20</v>
      </c>
      <c r="Z68" s="2424"/>
      <c r="AI68" s="2425"/>
    </row>
    <row r="69" spans="1:35" s="2447" customFormat="1" ht="16.5" customHeight="1">
      <c r="A69" s="2501"/>
      <c r="B69" s="2502"/>
      <c r="C69" s="2503"/>
      <c r="D69" s="2504"/>
      <c r="E69" s="2505"/>
      <c r="F69" s="2168"/>
      <c r="G69" s="2168"/>
      <c r="H69" s="2167"/>
      <c r="I69" s="2419"/>
      <c r="J69" s="3063"/>
      <c r="K69" s="2500" t="s">
        <v>2253</v>
      </c>
      <c r="L69" s="2506"/>
      <c r="M69" s="24">
        <f ca="1">ROUND(SUM(M63:M68),0)</f>
        <v>40</v>
      </c>
      <c r="N69" s="1753">
        <f ca="1">M69/M49</f>
        <v>3.996003996003996E-2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thickBot="1">
      <c r="A70" s="3107" t="s">
        <v>2254</v>
      </c>
      <c r="B70" s="3108"/>
      <c r="C70" s="3108"/>
      <c r="D70" s="3108"/>
      <c r="E70" s="3108"/>
      <c r="F70" s="3108"/>
      <c r="G70" s="3108"/>
      <c r="H70" s="310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8" t="s">
        <v>2235</v>
      </c>
      <c r="B71" s="3099"/>
      <c r="C71" s="1804"/>
      <c r="D71" s="1804" t="s">
        <v>2236</v>
      </c>
      <c r="E71" s="214" t="s">
        <v>2237</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2255</v>
      </c>
      <c r="C72" s="208">
        <f ca="1">ROUND(D45/(1+'数据-取费表'!C42),0)</f>
        <v>953</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2256</v>
      </c>
      <c r="C73" s="208">
        <f ca="1">C74+C78</f>
        <v>6</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2257</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2258</v>
      </c>
      <c r="C75" s="219"/>
      <c r="D75" s="201" t="s">
        <v>32</v>
      </c>
      <c r="E75" s="220" t="s">
        <v>2259</v>
      </c>
      <c r="F75" s="2512" t="s">
        <v>2260</v>
      </c>
      <c r="G75" s="220" t="s">
        <v>2261</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2262</v>
      </c>
      <c r="C76" s="201">
        <f>IF(F75="购房发票",ROUND(C75*H75*D76,0),0)</f>
        <v>0</v>
      </c>
      <c r="D76" s="223">
        <v>0.05</v>
      </c>
      <c r="E76" s="3104" t="s">
        <v>2263</v>
      </c>
      <c r="F76" s="3103"/>
      <c r="G76" s="3103"/>
      <c r="H76" s="310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2264</v>
      </c>
      <c r="C77" s="201">
        <f>ROUND(IF(G77="个人住宅",0,IF(G77="2016年5月1日前购买",C75*D77,C75*D77/(1+'数据-取费表'!C42))),0)</f>
        <v>0</v>
      </c>
      <c r="D77" s="224">
        <f>'数据-取费表'!B48+'数据-取费表'!B49</f>
        <v>3.0499999999999999E-2</v>
      </c>
      <c r="E77" s="15" t="s">
        <v>2265</v>
      </c>
      <c r="F77" s="225"/>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2267</v>
      </c>
      <c r="C78" s="226">
        <f ca="1">ROUND(D45*D78/(1+'数据-取费表'!C42),0)</f>
        <v>6</v>
      </c>
      <c r="D78" s="227">
        <f>'数据-取费表'!B43</f>
        <v>6.000000000000001E-3</v>
      </c>
      <c r="E78" s="3095" t="s">
        <v>2268</v>
      </c>
      <c r="F78" s="3096"/>
      <c r="G78" s="3096"/>
      <c r="H78" s="309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2269</v>
      </c>
      <c r="C79" s="208">
        <f ca="1">C72-C73</f>
        <v>947</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2270</v>
      </c>
      <c r="C80" s="228">
        <f ca="1">IF(C79&lt;=0,0,C79/C73)</f>
        <v>157.83333333333334</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2271</v>
      </c>
      <c r="C81" s="229">
        <f ca="1">ROUND(IF(C79&lt;=0,0,IF(C80&gt;=200%,C79*60%-C73*35%,IF(C80&gt;=100%,C79*50%-C73*15%,IF(C80&gt;=50%,C79*40%-C73*5%,IF(C80&lt;50%,C79*30%,0))))),0)</f>
        <v>566</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7" t="s">
        <v>2272</v>
      </c>
      <c r="B83" s="3108"/>
      <c r="C83" s="3108"/>
      <c r="D83" s="3108"/>
      <c r="E83" s="3108"/>
      <c r="F83" s="3108"/>
      <c r="G83" s="3108"/>
      <c r="H83" s="310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8" t="s">
        <v>2235</v>
      </c>
      <c r="B84" s="3099"/>
      <c r="C84" s="1804"/>
      <c r="D84" s="1804" t="s">
        <v>2236</v>
      </c>
      <c r="E84" s="214" t="s">
        <v>2237</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2255</v>
      </c>
      <c r="C85" s="208">
        <f ca="1">ROUND(D45/(1+'数据-取费表'!C42),0)</f>
        <v>953</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2256</v>
      </c>
      <c r="C86" s="208">
        <f ca="1">IF(H88="仅含出让金",C87+C90+C91+C92+C93+C94,C87+C91+C92+C93+C94)</f>
        <v>6</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2273</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2274</v>
      </c>
      <c r="C88" s="237"/>
      <c r="D88" s="227"/>
      <c r="E88" s="238" t="s">
        <v>2275</v>
      </c>
      <c r="F88" s="1800"/>
      <c r="G88" s="239"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2264</v>
      </c>
      <c r="C89" s="226">
        <f>ROUND(C88*D89,0)</f>
        <v>0</v>
      </c>
      <c r="D89" s="227">
        <f>'数据-取费表'!B48+'数据-取费表'!B49</f>
        <v>3.0499999999999999E-2</v>
      </c>
      <c r="E89" s="238"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2278</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2279</v>
      </c>
      <c r="B91" s="199" t="s">
        <v>2280</v>
      </c>
      <c r="C91" s="226">
        <f>IF(H91="——",成本法!C33,I91)</f>
        <v>0</v>
      </c>
      <c r="D91" s="227"/>
      <c r="E91" s="3095" t="s">
        <v>2281</v>
      </c>
      <c r="F91" s="3096"/>
      <c r="G91" s="3096"/>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2283</v>
      </c>
      <c r="B92" s="199" t="s">
        <v>2284</v>
      </c>
      <c r="C92" s="226">
        <f>ROUND((C87+C90+C91)*D92,0)</f>
        <v>0</v>
      </c>
      <c r="D92" s="227">
        <v>0.1</v>
      </c>
      <c r="E92" s="3095" t="s">
        <v>2285</v>
      </c>
      <c r="F92" s="3096"/>
      <c r="G92" s="3096"/>
      <c r="H92" s="309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2286</v>
      </c>
      <c r="B93" s="199" t="s">
        <v>2267</v>
      </c>
      <c r="C93" s="226">
        <f ca="1">ROUND(D45*D93/(1+'数据-取费表'!C42),0)</f>
        <v>6</v>
      </c>
      <c r="D93" s="227">
        <f>'数据-取费表'!B43</f>
        <v>6.000000000000001E-3</v>
      </c>
      <c r="E93" s="3095" t="s">
        <v>2268</v>
      </c>
      <c r="F93" s="3096"/>
      <c r="G93" s="3096"/>
      <c r="H93" s="309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2287</v>
      </c>
      <c r="B94" s="199" t="s">
        <v>2288</v>
      </c>
      <c r="C94" s="237">
        <f>ROUND((C87+C90+C91)*D94,0)</f>
        <v>0</v>
      </c>
      <c r="D94" s="227">
        <v>0.2</v>
      </c>
      <c r="E94" s="3143" t="s">
        <v>2289</v>
      </c>
      <c r="F94" s="3144"/>
      <c r="G94" s="3144"/>
      <c r="H94" s="314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2269</v>
      </c>
      <c r="C95" s="208">
        <f ca="1">ROUND(C85-C86,0)</f>
        <v>947</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2270</v>
      </c>
      <c r="C96" s="228">
        <f ca="1">IF(C95&lt;=0,0,C95/C86)</f>
        <v>157.83333333333334</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2271</v>
      </c>
      <c r="C97" s="229">
        <f ca="1">ROUND(IF(C95&lt;=0,0,IF(C96&gt;=200%,C95*60%-C86*35%,IF(C96&gt;=100%,C95*50%-C86*15%,IF(C96&gt;=50%,C95*40%-C86*5%,IF(C96&lt;50%,C95*30%,0))))),0)</f>
        <v>566</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047" t="s">
        <v>2291</v>
      </c>
      <c r="B100" s="3048"/>
      <c r="C100" s="3048"/>
      <c r="D100" s="3079"/>
      <c r="E100" s="3048" t="s">
        <v>2292</v>
      </c>
      <c r="F100" s="3048"/>
      <c r="G100" s="3048"/>
      <c r="H100" s="3079"/>
      <c r="I100" s="138"/>
    </row>
    <row r="101" spans="1:35" ht="18.75" customHeight="1">
      <c r="A101" s="3087" t="s">
        <v>2293</v>
      </c>
      <c r="B101" s="3088"/>
      <c r="C101" s="735" t="str">
        <f>C4</f>
        <v>比较法-住宅</v>
      </c>
      <c r="D101" s="736" t="str">
        <f>D4</f>
        <v>收益法 (元)</v>
      </c>
      <c r="E101" s="3059" t="s">
        <v>2294</v>
      </c>
      <c r="F101" s="3060"/>
      <c r="G101" s="2521" t="s">
        <v>2295</v>
      </c>
      <c r="H101" s="1047">
        <f ca="1">H118</f>
        <v>1001</v>
      </c>
      <c r="I101" s="138"/>
    </row>
    <row r="102" spans="1:35" ht="18.75" customHeight="1">
      <c r="A102" s="3089" t="s">
        <v>2296</v>
      </c>
      <c r="B102" s="2521" t="s">
        <v>2295</v>
      </c>
      <c r="C102" s="735">
        <f ca="1">C19</f>
        <v>1218</v>
      </c>
      <c r="D102" s="736">
        <f ca="1">D19</f>
        <v>493</v>
      </c>
      <c r="E102" s="3059"/>
      <c r="F102" s="3060"/>
      <c r="G102" s="2521" t="s">
        <v>2297</v>
      </c>
      <c r="H102" s="372">
        <f ca="1">I118</f>
        <v>112674</v>
      </c>
      <c r="I102" s="138"/>
    </row>
    <row r="103" spans="1:35" ht="42.75" customHeight="1">
      <c r="A103" s="3089"/>
      <c r="B103" s="2521" t="s">
        <v>2297</v>
      </c>
      <c r="C103" s="737">
        <f ca="1">C20</f>
        <v>137105</v>
      </c>
      <c r="D103" s="738">
        <f ca="1">D20</f>
        <v>55472</v>
      </c>
      <c r="E103" s="3053" t="s">
        <v>2298</v>
      </c>
      <c r="F103" s="3054"/>
      <c r="G103" s="2522" t="s">
        <v>2299</v>
      </c>
      <c r="H103" s="1047">
        <f>IF(D36="正常操作",H104+H105+H106,H105+H106)</f>
        <v>0</v>
      </c>
      <c r="I103" s="138"/>
    </row>
    <row r="104" spans="1:35" ht="18.75" customHeight="1">
      <c r="A104" s="3089" t="s">
        <v>2300</v>
      </c>
      <c r="B104" s="2523" t="s">
        <v>2295</v>
      </c>
      <c r="C104" s="739">
        <f ca="1">H118</f>
        <v>1001</v>
      </c>
      <c r="D104" s="740"/>
      <c r="E104" s="2268" t="s">
        <v>2301</v>
      </c>
      <c r="F104" s="2259"/>
      <c r="G104" s="2522" t="s">
        <v>2299</v>
      </c>
      <c r="H104" s="1048">
        <f>IF(D36="同一抵押权人同一抵押物续贷",C36&amp;"（未扣减，详见特别提示）",C36)</f>
        <v>0</v>
      </c>
      <c r="I104" s="138"/>
    </row>
    <row r="105" spans="1:35" ht="18.75" customHeight="1" thickBot="1">
      <c r="A105" s="3101"/>
      <c r="B105" s="2524" t="s">
        <v>2297</v>
      </c>
      <c r="C105" s="741">
        <f ca="1">I118</f>
        <v>112674</v>
      </c>
      <c r="D105" s="742"/>
      <c r="E105" s="2268" t="s">
        <v>2302</v>
      </c>
      <c r="F105" s="2259"/>
      <c r="G105" s="2522" t="s">
        <v>2299</v>
      </c>
      <c r="H105" s="1048">
        <f>C37</f>
        <v>0</v>
      </c>
      <c r="I105" s="138"/>
    </row>
    <row r="106" spans="1:35" ht="18.75" customHeight="1">
      <c r="A106" s="2419" t="s">
        <v>2303</v>
      </c>
      <c r="B106" s="2419"/>
      <c r="C106" s="2419"/>
      <c r="D106" s="2419"/>
      <c r="E106" s="2525" t="s">
        <v>2304</v>
      </c>
      <c r="F106" s="2259"/>
      <c r="G106" s="2522" t="s">
        <v>2299</v>
      </c>
      <c r="H106" s="1048">
        <f>C38</f>
        <v>0</v>
      </c>
      <c r="I106" s="138"/>
    </row>
    <row r="107" spans="1:35" ht="18.75" customHeight="1">
      <c r="A107" s="138"/>
      <c r="B107" s="138"/>
      <c r="C107" s="138"/>
      <c r="D107" s="138"/>
      <c r="E107" s="3090" t="str">
        <f>IF(项目基本情况!E8="已注销","——","3.房地产抵押价值")</f>
        <v>3.房地产抵押价值</v>
      </c>
      <c r="F107" s="3060"/>
      <c r="G107" s="2521" t="s">
        <v>2295</v>
      </c>
      <c r="H107" s="1047">
        <f ca="1">IF(E107="——","——",H101-H103)</f>
        <v>1001</v>
      </c>
      <c r="I107" s="138"/>
    </row>
    <row r="108" spans="1:35" ht="18.75" customHeight="1">
      <c r="A108" s="138"/>
      <c r="B108" s="138"/>
      <c r="C108" s="138"/>
      <c r="D108" s="138"/>
      <c r="E108" s="3090"/>
      <c r="F108" s="3060"/>
      <c r="G108" s="2521" t="s">
        <v>2297</v>
      </c>
      <c r="H108" s="372">
        <f ca="1">ROUND(H107*10000/'数据-汇总表'!E3,0)</f>
        <v>112674</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1" t="s">
        <v>2295</v>
      </c>
      <c r="H109" s="349" t="str">
        <f>IF(E109="——","——",H101-H105-H106)</f>
        <v>——</v>
      </c>
      <c r="I109" s="138"/>
    </row>
    <row r="110" spans="1:35" ht="18.75" customHeight="1">
      <c r="A110" s="138"/>
      <c r="B110" s="138"/>
      <c r="C110" s="138"/>
      <c r="D110" s="138"/>
      <c r="E110" s="3090"/>
      <c r="F110" s="3060"/>
      <c r="G110" s="2521" t="s">
        <v>2297</v>
      </c>
      <c r="H110" s="372"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1" t="s">
        <v>2295</v>
      </c>
      <c r="H111" s="1047" t="str">
        <f>IF(E111="——","——",N59)</f>
        <v>——</v>
      </c>
      <c r="I111" s="138"/>
    </row>
    <row r="112" spans="1:35" ht="18.75" customHeight="1" thickBot="1">
      <c r="A112" s="138"/>
      <c r="B112" s="138"/>
      <c r="C112" s="138"/>
      <c r="D112" s="138"/>
      <c r="E112" s="3093"/>
      <c r="F112" s="3094"/>
      <c r="G112" s="2526" t="s">
        <v>2297</v>
      </c>
      <c r="H112" s="789" t="str">
        <f>IF(E111="——","——",N61)</f>
        <v>——</v>
      </c>
      <c r="I112" s="138"/>
    </row>
    <row r="113" spans="1:11" ht="18.75" customHeight="1">
      <c r="A113" s="138"/>
      <c r="B113" s="138"/>
      <c r="C113" s="138"/>
      <c r="D113" s="138"/>
      <c r="E113" s="3102" t="s">
        <v>2303</v>
      </c>
      <c r="F113" s="3102"/>
      <c r="G113" s="3102"/>
      <c r="H113" s="3102"/>
      <c r="I113" s="138"/>
    </row>
    <row r="114" spans="1:11" ht="3.75" customHeight="1">
      <c r="A114" s="2419"/>
      <c r="B114" s="2419"/>
      <c r="C114" s="2419"/>
      <c r="D114" s="2419"/>
      <c r="E114" s="2497"/>
      <c r="F114" s="2497"/>
      <c r="G114" s="2497"/>
      <c r="H114" s="2497"/>
      <c r="I114" s="2419"/>
    </row>
    <row r="115" spans="1:11" ht="18.75" customHeight="1">
      <c r="A115" s="3115" t="s">
        <v>2305</v>
      </c>
      <c r="B115" s="3116"/>
      <c r="C115" s="3116"/>
      <c r="D115" s="3116"/>
      <c r="E115" s="3116"/>
      <c r="F115" s="3116"/>
      <c r="G115" s="3116"/>
      <c r="H115" s="3116"/>
      <c r="I115" s="3117"/>
    </row>
    <row r="116" spans="1:11" ht="27" customHeight="1">
      <c r="A116" s="3026" t="s">
        <v>2306</v>
      </c>
      <c r="B116" s="3069" t="s">
        <v>2307</v>
      </c>
      <c r="C116" s="3069" t="s">
        <v>2308</v>
      </c>
      <c r="D116" s="3075" t="s">
        <v>2309</v>
      </c>
      <c r="E116" s="3076"/>
      <c r="F116" s="3111" t="s">
        <v>2310</v>
      </c>
      <c r="G116" s="3111"/>
      <c r="H116" s="3026" t="s">
        <v>2311</v>
      </c>
      <c r="I116" s="3026"/>
    </row>
    <row r="117" spans="1:11" ht="18.75" customHeight="1">
      <c r="A117" s="3026"/>
      <c r="B117" s="3070"/>
      <c r="C117" s="3070"/>
      <c r="D117" s="1798" t="s">
        <v>2312</v>
      </c>
      <c r="E117" s="1798" t="s">
        <v>2313</v>
      </c>
      <c r="F117" s="1798" t="s">
        <v>2312</v>
      </c>
      <c r="G117" s="1798" t="s">
        <v>2314</v>
      </c>
      <c r="H117" s="1798" t="s">
        <v>2312</v>
      </c>
      <c r="I117" s="1798" t="s">
        <v>2314</v>
      </c>
    </row>
    <row r="118" spans="1:11" ht="24.75" customHeight="1">
      <c r="A118" s="2527" t="str">
        <f>项目基本情况!S2</f>
        <v>北京市西城区真武庙路二条10号楼1层7单元102及103共计两套商业服务用房房地产</v>
      </c>
      <c r="B118" s="1798">
        <f>M18</f>
        <v>88.84</v>
      </c>
      <c r="C118" s="1798">
        <f>M19</f>
        <v>0</v>
      </c>
      <c r="D118" s="1798">
        <f ca="1">ROUND(IF(D32="总价",C34,E118*B118/10000),0)</f>
        <v>778</v>
      </c>
      <c r="E118" s="1798">
        <f ca="1">ROUND(IF(C33="自定义",IF(D32="楼面单价",C34,D118*10000/B118),I118-G118),0)</f>
        <v>87573</v>
      </c>
      <c r="F118" s="1798">
        <f ca="1">ROUND(IF(D32="总价",C35,G118*B118/10000),0)</f>
        <v>223</v>
      </c>
      <c r="G118" s="1798">
        <f ca="1">ROUND(IF(D32="楼面单价",C35,F118*10000/B118),0)</f>
        <v>25101</v>
      </c>
      <c r="H118" s="1798">
        <f ca="1">ROUND(IF(D32="总价",C32,I118*B118/10000),0)</f>
        <v>1001</v>
      </c>
      <c r="I118" s="1798">
        <f ca="1">ROUND(IF(D32="楼面单价",C32,H118*10000/B118),0)</f>
        <v>112674</v>
      </c>
    </row>
    <row r="119" spans="1:11" ht="18.75" customHeight="1">
      <c r="A119" s="3026" t="s">
        <v>2315</v>
      </c>
      <c r="B119" s="3026"/>
      <c r="C119" s="3026"/>
      <c r="D119" s="3071" t="str">
        <f ca="1">NUMBERSTRING(INT(D118*10000),2)&amp;"元整"</f>
        <v>柒佰柒拾捌万元整</v>
      </c>
      <c r="E119" s="3072"/>
      <c r="F119" s="3071" t="str">
        <f ca="1">NUMBERSTRING(INT(F118*10000),2)&amp;"元整"</f>
        <v>贰佰贰拾叁万元整</v>
      </c>
      <c r="G119" s="3072"/>
      <c r="H119" s="3071" t="str">
        <f ca="1">NUMBERSTRING(INT(H118*10000),2)&amp;"元整"</f>
        <v>壹仟零壹万元整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4" t="str">
        <f>IF(D120=0,"故，本次评估不存在"&amp;A120,"故，本次评估"&amp;A120&amp;"为人民币"&amp;D120&amp;"万元整。")</f>
        <v>故，本次评估不存在估价师知悉的法定优先受偿款</v>
      </c>
    </row>
    <row r="121" spans="1:11" ht="18.75" customHeight="1">
      <c r="A121" s="3112" t="s">
        <v>2315</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1001</v>
      </c>
      <c r="E122" s="3067"/>
      <c r="F122" s="3067"/>
      <c r="G122" s="3067"/>
      <c r="H122" s="3067"/>
      <c r="I122" s="3068"/>
    </row>
    <row r="123" spans="1:11" ht="18.75" customHeight="1">
      <c r="A123" s="3026" t="s">
        <v>2315</v>
      </c>
      <c r="B123" s="3026"/>
      <c r="C123" s="3026"/>
      <c r="D123" s="3071" t="str">
        <f ca="1">NUMBERSTRING(INT(D122*10000),2)&amp;"元整"</f>
        <v>壹仟零壹万元整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2315</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2315</v>
      </c>
      <c r="B127" s="3026"/>
      <c r="C127" s="3026"/>
      <c r="D127" s="3071" t="e">
        <f>NUMBERSTRING(INT(D126*10000),2)&amp;"元整"</f>
        <v>#VALUE!</v>
      </c>
      <c r="E127" s="3073"/>
      <c r="F127" s="3073"/>
      <c r="G127" s="3073"/>
      <c r="H127" s="3073"/>
      <c r="I127" s="3072"/>
    </row>
    <row r="128" spans="1:11" ht="21.75" customHeight="1">
      <c r="A128" s="3074" t="s">
        <v>2316</v>
      </c>
      <c r="B128" s="3074"/>
      <c r="C128" s="3074"/>
      <c r="D128" s="3074"/>
      <c r="E128" s="3074"/>
      <c r="F128" s="3074"/>
      <c r="G128" s="3074"/>
      <c r="H128" s="3074"/>
      <c r="I128" s="3074"/>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2319</v>
      </c>
      <c r="G135" s="2545"/>
      <c r="H135" s="2545"/>
      <c r="I135" s="2546" t="s">
        <v>2320</v>
      </c>
    </row>
    <row r="136" spans="1:35" ht="21.75" customHeight="1">
      <c r="A136" s="794"/>
      <c r="B136" s="2547"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2322</v>
      </c>
    </row>
    <row r="139" spans="1:35" ht="21.75" customHeight="1">
      <c r="A139" s="794"/>
      <c r="B139" s="2547" t="s">
        <v>2323</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2322</v>
      </c>
    </row>
    <row r="142" spans="1:35" ht="21.75" customHeight="1">
      <c r="A142" s="794"/>
      <c r="B142" s="2547"/>
      <c r="C142" s="2548"/>
      <c r="D142" s="2549"/>
      <c r="E142" s="2549"/>
      <c r="F142" s="2342"/>
      <c r="G142" s="794"/>
      <c r="H142" s="794"/>
      <c r="I142" s="794"/>
    </row>
    <row r="143" spans="1:35" s="139" customFormat="1" ht="21.75" customHeight="1">
      <c r="A143" s="794"/>
      <c r="B143" s="2547"/>
      <c r="C143" s="2548"/>
      <c r="D143" s="2549"/>
      <c r="E143" s="2549"/>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1" t="s">
        <v>2457</v>
      </c>
      <c r="B1" s="1584"/>
      <c r="C1" s="1585"/>
      <c r="D1" s="1583"/>
      <c r="E1" s="321"/>
      <c r="F1" s="321"/>
      <c r="G1" s="1584"/>
      <c r="H1" s="321"/>
      <c r="I1" s="321"/>
      <c r="J1" s="321"/>
      <c r="K1" s="321">
        <f>MATCH(C1,'数据-取费表'!A6:A16,0)+5</f>
        <v>7</v>
      </c>
    </row>
    <row r="2" spans="1:33" ht="18" customHeight="1">
      <c r="A2" s="246" t="s">
        <v>2325</v>
      </c>
      <c r="B2" s="249">
        <f ca="1">C32</f>
        <v>235</v>
      </c>
      <c r="C2" s="321" t="s">
        <v>2458</v>
      </c>
      <c r="D2" s="321"/>
      <c r="E2" s="321"/>
      <c r="F2" s="321"/>
      <c r="G2" s="321"/>
      <c r="H2" s="321"/>
      <c r="I2" s="321"/>
      <c r="J2" s="321"/>
      <c r="K2" s="321"/>
    </row>
    <row r="3" spans="1:33" ht="18" customHeight="1" thickBot="1">
      <c r="A3" s="248" t="s">
        <v>2327</v>
      </c>
      <c r="B3" s="249">
        <f ca="1">ROUND(B2*10000/IF(C1="",'数据-汇总表'!E3,INDIRECT("'数据-取费表'!K"&amp;$K$1)),0)</f>
        <v>26452</v>
      </c>
      <c r="C3" s="321" t="s">
        <v>2459</v>
      </c>
      <c r="D3" s="321"/>
      <c r="E3" s="321"/>
      <c r="F3" s="321"/>
      <c r="G3" s="321"/>
      <c r="H3" s="321"/>
      <c r="I3" s="321"/>
      <c r="J3" s="321"/>
      <c r="K3" s="321"/>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7" t="s">
        <v>2463</v>
      </c>
      <c r="D5" s="2557" t="s">
        <v>2464</v>
      </c>
      <c r="E5" s="2557" t="s">
        <v>2465</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2469</v>
      </c>
      <c r="B8" s="178"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1335</v>
      </c>
      <c r="B11" s="974" t="s">
        <v>2478</v>
      </c>
      <c r="C11" s="324">
        <f ca="1">IF(C1="",'数据-取费表'!P16,INDIRECT("'数据-取费表'!p"&amp;$K$1)+INDIRECT("'数据-取费表'!ar"&amp;$K$1))</f>
        <v>0</v>
      </c>
      <c r="D11" s="975"/>
      <c r="E11" s="376"/>
      <c r="F11" s="976">
        <f ca="1">1-IF('数据-取费表'!B24=0,1,IF(C1="",'数据-取费表'!N16,INDIRECT("'数据-取费表'!n"&amp;$K$1)))</f>
        <v>0</v>
      </c>
      <c r="G11" s="8"/>
      <c r="H11" s="970"/>
      <c r="I11" s="970"/>
      <c r="J11" s="970"/>
      <c r="K11" s="971"/>
    </row>
    <row r="12" spans="1:33" s="977" customFormat="1" ht="13.5" customHeight="1">
      <c r="A12" s="973" t="s">
        <v>1336</v>
      </c>
      <c r="B12" s="974" t="s">
        <v>2479</v>
      </c>
      <c r="C12" s="24">
        <f ca="1">ROUND(C11*F12,0)</f>
        <v>0</v>
      </c>
      <c r="D12" s="975"/>
      <c r="E12" s="376"/>
      <c r="F12" s="978">
        <f>'数据-取费表'!B33</f>
        <v>0.03</v>
      </c>
      <c r="G12" s="8" t="s">
        <v>2480</v>
      </c>
      <c r="H12" s="970"/>
      <c r="I12" s="970"/>
      <c r="J12" s="970"/>
      <c r="K12" s="971"/>
    </row>
    <row r="13" spans="1:33" s="977" customFormat="1" ht="13.5" customHeight="1">
      <c r="A13" s="973" t="s">
        <v>1337</v>
      </c>
      <c r="B13" s="974" t="s">
        <v>2481</v>
      </c>
      <c r="C13" s="24">
        <f ca="1">ROUND(IF(C1="",SUMIF('数据-取费表'!C:C,"住宅",'数据-取费表'!P:P)*F13,IF(INDIRECT("'数据-取费表'!c"&amp;$K$1)="住宅",INDIRECT("'数据-取费表'!P"&amp;$K$1)*F13,0)),0)</f>
        <v>0</v>
      </c>
      <c r="D13" s="1035"/>
      <c r="E13" s="376"/>
      <c r="F13" s="978">
        <f>'数据-取费表'!B34</f>
        <v>0.05</v>
      </c>
      <c r="G13" s="8" t="s">
        <v>2482</v>
      </c>
      <c r="H13" s="970"/>
      <c r="I13" s="970"/>
      <c r="J13" s="970"/>
      <c r="K13" s="971"/>
    </row>
    <row r="14" spans="1:33" s="979" customFormat="1" ht="13.5" customHeight="1">
      <c r="A14" s="973" t="s">
        <v>1338</v>
      </c>
      <c r="B14" s="974" t="s">
        <v>2483</v>
      </c>
      <c r="C14" s="24">
        <f ca="1">ROUND(D14*E14*F11/10000,0)</f>
        <v>0</v>
      </c>
      <c r="D14" s="1035">
        <f ca="1">IF(C1="",'数据-汇总表'!E3,INDIRECT("'数据-取费表'!K"&amp;$K$1)+INDIRECT("'数据-取费表'!S"&amp;$K$1))</f>
        <v>88.84</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88.84</v>
      </c>
      <c r="E17" s="24">
        <f>'数据-取费表'!B32</f>
        <v>0</v>
      </c>
      <c r="F17" s="980"/>
      <c r="G17" s="140" t="s">
        <v>2489</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2490</v>
      </c>
      <c r="C18" s="24">
        <f ca="1">C19+C20-IF(C1="",'数据-取费表'!B29,IF(G18="已全部缴纳",C19+C20,H18))</f>
        <v>-198</v>
      </c>
      <c r="D18" s="1035"/>
      <c r="E18" s="24"/>
      <c r="F18" s="978"/>
      <c r="G18" s="2559"/>
      <c r="H18" s="1580"/>
      <c r="I18" s="2560" t="s">
        <v>2491</v>
      </c>
      <c r="J18" s="981"/>
      <c r="K18" s="982"/>
    </row>
    <row r="19" spans="1:33" s="977" customFormat="1" ht="13.5" customHeight="1">
      <c r="A19" s="973" t="s">
        <v>805</v>
      </c>
      <c r="B19" s="974" t="s">
        <v>2492</v>
      </c>
      <c r="C19" s="24">
        <f ca="1">ROUND(D19*E19/10000,0)</f>
        <v>2</v>
      </c>
      <c r="D19" s="1035">
        <f ca="1">IF(C1="",'数据-汇总表'!E5,IF(INDIRECT("'数据-取费表'!c"&amp;$K$1)="住宅",INDIRECT("'数据-取费表'!k"&amp;$K$1),0))</f>
        <v>88.84</v>
      </c>
      <c r="E19" s="24">
        <f>'数据-取费表'!B27</f>
        <v>200</v>
      </c>
      <c r="F19" s="978"/>
      <c r="G19" s="15"/>
      <c r="H19" s="1582"/>
      <c r="I19" s="983"/>
      <c r="J19" s="983"/>
      <c r="K19" s="984"/>
    </row>
    <row r="20" spans="1:33" s="977" customFormat="1" ht="13.5" customHeight="1">
      <c r="A20" s="973" t="s">
        <v>806</v>
      </c>
      <c r="B20" s="974" t="s">
        <v>2493</v>
      </c>
      <c r="C20" s="24">
        <f ca="1">ROUND(D20*E20/10000,0)</f>
        <v>0</v>
      </c>
      <c r="D20" s="1035">
        <f ca="1">IF(C1="",'数据-汇总表'!E6,IF(INDIRECT("'数据-取费表'!c"&amp;$K$1)="住宅",INDIRECT("'数据-取费表'!s"&amp;$K$1),INDIRECT("'数据-取费表'!k"&amp;$K$1)+INDIRECT("'数据-取费表'!s"&amp;$K$1)))</f>
        <v>0</v>
      </c>
      <c r="E20" s="24">
        <f>'数据-取费表'!B28</f>
        <v>0</v>
      </c>
      <c r="F20" s="978"/>
      <c r="G20" s="15"/>
      <c r="H20" s="983"/>
      <c r="I20" s="983"/>
      <c r="J20" s="983"/>
      <c r="K20" s="984"/>
    </row>
    <row r="21" spans="1:33" s="977" customFormat="1" ht="13.5" customHeight="1">
      <c r="A21" s="963" t="s">
        <v>802</v>
      </c>
      <c r="B21" s="987" t="s">
        <v>2494</v>
      </c>
      <c r="C21" s="988">
        <f ca="1">C16+C17+C18</f>
        <v>-198</v>
      </c>
      <c r="D21" s="989"/>
      <c r="E21" s="326"/>
      <c r="F21" s="326"/>
      <c r="G21" s="140" t="s">
        <v>2495</v>
      </c>
      <c r="H21" s="981"/>
      <c r="I21" s="981"/>
      <c r="J21" s="981"/>
      <c r="K21" s="982"/>
    </row>
    <row r="22" spans="1:33" s="977" customFormat="1" ht="13.5" customHeight="1">
      <c r="A22" s="963" t="s">
        <v>2467</v>
      </c>
      <c r="B22" s="987" t="s">
        <v>2496</v>
      </c>
      <c r="C22" s="988">
        <f ca="1">ROUND(C21*F22,0)</f>
        <v>-4</v>
      </c>
      <c r="D22" s="326"/>
      <c r="E22" s="326"/>
      <c r="F22" s="990">
        <f>'数据-取费表'!B37</f>
        <v>0.02</v>
      </c>
      <c r="G22" s="8" t="s">
        <v>2497</v>
      </c>
      <c r="H22" s="970"/>
      <c r="I22" s="970"/>
      <c r="J22" s="970"/>
      <c r="K22" s="971"/>
    </row>
    <row r="23" spans="1:33" s="977" customFormat="1" ht="13.5" customHeight="1">
      <c r="A23" s="963" t="s">
        <v>2469</v>
      </c>
      <c r="B23" s="987" t="s">
        <v>2498</v>
      </c>
      <c r="C23" s="988">
        <f ca="1">ROUND(C4*F23*F11,0)</f>
        <v>0</v>
      </c>
      <c r="D23" s="326"/>
      <c r="E23" s="326"/>
      <c r="F23" s="990">
        <f>'数据-取费表'!B38</f>
        <v>0.02</v>
      </c>
      <c r="G23" s="8" t="s">
        <v>2499</v>
      </c>
      <c r="H23" s="970"/>
      <c r="I23" s="970"/>
      <c r="J23" s="970"/>
      <c r="K23" s="971"/>
    </row>
    <row r="24" spans="1:33" s="977" customFormat="1" ht="13.5" customHeight="1">
      <c r="A24" s="963" t="s">
        <v>2500</v>
      </c>
      <c r="B24" s="987" t="s">
        <v>2501</v>
      </c>
      <c r="C24" s="325">
        <f>ROUND(F24/(1+'数据-取费表'!C42),4)</f>
        <v>2.9000000000000001E-2</v>
      </c>
      <c r="D24" s="326" t="s">
        <v>15</v>
      </c>
      <c r="E24" s="326"/>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1"/>
      <c r="I27" s="981"/>
      <c r="J27" s="981"/>
      <c r="K27" s="982"/>
    </row>
    <row r="28" spans="1:33" s="334" customFormat="1" ht="13.5" customHeight="1">
      <c r="A28" s="963" t="s">
        <v>2507</v>
      </c>
      <c r="B28" s="2562" t="s">
        <v>2508</v>
      </c>
      <c r="C28" s="332">
        <f ca="1">C30</f>
        <v>-40</v>
      </c>
      <c r="D28" s="325">
        <f ca="1">C29</f>
        <v>0</v>
      </c>
      <c r="E28" s="327" t="s">
        <v>15</v>
      </c>
      <c r="F28" s="333">
        <f ca="1">IF(C1="",'数据-取费表'!Q16,INDIRECT("'数据-取费表'!q"&amp;$K$1))</f>
        <v>0.2</v>
      </c>
      <c r="G28" s="991"/>
      <c r="H28" s="992"/>
      <c r="I28" s="992"/>
      <c r="J28" s="992"/>
      <c r="K28" s="993"/>
    </row>
    <row r="29" spans="1:33" s="336" customFormat="1" ht="13.5" customHeight="1">
      <c r="A29" s="973" t="s">
        <v>803</v>
      </c>
      <c r="B29" s="996" t="s">
        <v>2509</v>
      </c>
      <c r="C29" s="329">
        <f ca="1">ROUND((1+C24)*F28*'数据-取费表'!B24/'数据-取费表'!B20,4)</f>
        <v>0</v>
      </c>
      <c r="D29" s="329"/>
      <c r="E29" s="330"/>
      <c r="F29" s="335"/>
      <c r="G29" s="140" t="s">
        <v>2510</v>
      </c>
      <c r="H29" s="981"/>
      <c r="I29" s="981"/>
      <c r="J29" s="981"/>
      <c r="K29" s="982"/>
    </row>
    <row r="30" spans="1:33" s="336" customFormat="1" ht="13.5" customHeight="1">
      <c r="A30" s="973" t="s">
        <v>804</v>
      </c>
      <c r="B30" s="996" t="s">
        <v>2511</v>
      </c>
      <c r="C30" s="337">
        <f ca="1">ROUND((C21+C22+C23)*F28,0)</f>
        <v>-40</v>
      </c>
      <c r="D30" s="329"/>
      <c r="E30" s="330"/>
      <c r="F30" s="335"/>
      <c r="G30" s="140"/>
      <c r="H30" s="981"/>
      <c r="I30" s="981"/>
      <c r="J30" s="981"/>
      <c r="K30" s="982"/>
    </row>
    <row r="31" spans="1:33" s="977" customFormat="1" ht="13.5" customHeight="1" thickBot="1">
      <c r="A31" s="2563"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235</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0" t="str">
        <f>项目基本情况!B1</f>
        <v>北京市西城区真武庙路二条10号楼1层7单元102及103共计两套商业服务用房房地产抵押价值预评估</v>
      </c>
      <c r="C37" s="2960"/>
      <c r="D37" s="2960"/>
      <c r="E37" s="2960"/>
      <c r="F37" s="2960"/>
      <c r="G37" s="2960"/>
      <c r="H37" s="2960"/>
      <c r="I37" s="2960"/>
    </row>
    <row r="38" spans="1:9">
      <c r="A38" s="1018"/>
      <c r="B38" s="1018"/>
    </row>
    <row r="39" spans="1:9">
      <c r="A39" s="1016" t="s">
        <v>818</v>
      </c>
      <c r="B39" s="1016" t="s">
        <v>820</v>
      </c>
    </row>
    <row r="40" spans="1:9">
      <c r="A40" s="1016"/>
      <c r="B40" s="1945" t="str">
        <f>项目基本情况!B5</f>
        <v>北京世纪润丰源资产管理有限公司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吴薇（注册号：1419970001)、王鹏（注册号：1120050019)</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I28" sqref="I2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585" t="s">
        <v>2527</v>
      </c>
      <c r="C1" s="1637" t="s">
        <v>2528</v>
      </c>
      <c r="D1" s="1624" t="s">
        <v>3046</v>
      </c>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4" customFormat="1" ht="28.5" customHeight="1" thickTop="1">
      <c r="A2" s="1620" t="s">
        <v>1395</v>
      </c>
      <c r="B2" s="1420">
        <f>IF(C2="——",ROUND(C49*D3/10000,0),ROUND(C49*D3/10000,0)-D2)</f>
        <v>1218</v>
      </c>
      <c r="C2" s="2589" t="s">
        <v>70</v>
      </c>
      <c r="D2" s="1367" t="e">
        <f ca="1">SUMIF(INDIRECT("'"&amp;F2&amp;"'"&amp;"!A:A"),"承租人权益价值",INDIRECT("'"&amp;F2&amp;"'"&amp;"!c:c"))</f>
        <v>#REF!</v>
      </c>
      <c r="E2" s="2590" t="s">
        <v>2531</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137105</v>
      </c>
      <c r="C3" s="401" t="s">
        <v>2532</v>
      </c>
      <c r="D3" s="400">
        <f>IF(D1="",'数据-汇总表'!E3,SUMIF('数据-汇总表'!$C19:$C33,D1,'数据-汇总表'!$E19:$E33))</f>
        <v>88.84</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2" t="s">
        <v>2533</v>
      </c>
      <c r="B4" s="403"/>
      <c r="C4" s="3165" t="s">
        <v>2534</v>
      </c>
      <c r="D4" s="3166"/>
      <c r="E4" s="3167" t="s">
        <v>2535</v>
      </c>
      <c r="F4" s="3168"/>
      <c r="G4" s="3165" t="s">
        <v>2536</v>
      </c>
      <c r="H4" s="3166"/>
      <c r="I4" s="3165" t="s">
        <v>2537</v>
      </c>
      <c r="J4" s="3166"/>
      <c r="K4" s="2599" t="s">
        <v>2538</v>
      </c>
      <c r="L4" s="1132"/>
      <c r="M4" s="1133"/>
      <c r="N4" s="1133"/>
      <c r="O4" s="1133"/>
      <c r="P4" s="3169" t="s">
        <v>2539</v>
      </c>
      <c r="Q4" s="3170"/>
      <c r="R4" s="3151" t="s">
        <v>2535</v>
      </c>
      <c r="S4" s="3152"/>
      <c r="T4" s="3151" t="s">
        <v>2536</v>
      </c>
      <c r="U4" s="3152"/>
      <c r="V4" s="3177" t="s">
        <v>2537</v>
      </c>
      <c r="W4" s="3177"/>
      <c r="X4" s="1816"/>
      <c r="Y4" s="3151" t="s">
        <v>2539</v>
      </c>
      <c r="Z4" s="3152"/>
      <c r="AA4" s="3146" t="s">
        <v>2535</v>
      </c>
      <c r="AB4" s="3146" t="s">
        <v>2536</v>
      </c>
      <c r="AC4" s="3146" t="s">
        <v>2537</v>
      </c>
    </row>
    <row r="5" spans="1:29" ht="15">
      <c r="A5" s="405"/>
      <c r="B5" s="406"/>
      <c r="C5" s="3157" t="s">
        <v>2540</v>
      </c>
      <c r="D5" s="3158"/>
      <c r="E5" s="3155" t="s">
        <v>3093</v>
      </c>
      <c r="F5" s="3156"/>
      <c r="G5" s="3161" t="s">
        <v>3094</v>
      </c>
      <c r="H5" s="3158"/>
      <c r="I5" s="3161" t="s">
        <v>3095</v>
      </c>
      <c r="J5" s="3158"/>
      <c r="K5" s="2600"/>
      <c r="L5" s="1132"/>
      <c r="M5" s="1133"/>
      <c r="N5" s="1133"/>
      <c r="O5" s="1133"/>
      <c r="P5" s="3171"/>
      <c r="Q5" s="3172"/>
      <c r="R5" s="3153"/>
      <c r="S5" s="3154"/>
      <c r="T5" s="3153"/>
      <c r="U5" s="3154"/>
      <c r="V5" s="3177"/>
      <c r="W5" s="3177"/>
      <c r="X5" s="1816"/>
      <c r="Y5" s="3153"/>
      <c r="Z5" s="3154"/>
      <c r="AA5" s="3147"/>
      <c r="AB5" s="3147"/>
      <c r="AC5" s="3147"/>
    </row>
    <row r="6" spans="1:29" ht="15.75" thickBot="1">
      <c r="A6" s="407"/>
      <c r="B6" s="408"/>
      <c r="C6" s="3159" t="s">
        <v>2544</v>
      </c>
      <c r="D6" s="3160"/>
      <c r="E6" s="3162" t="s">
        <v>2544</v>
      </c>
      <c r="F6" s="3163"/>
      <c r="G6" s="3159" t="s">
        <v>2544</v>
      </c>
      <c r="H6" s="3160"/>
      <c r="I6" s="3159" t="s">
        <v>2544</v>
      </c>
      <c r="J6" s="3160"/>
      <c r="K6" s="2600" t="s">
        <v>2545</v>
      </c>
      <c r="L6" s="1132"/>
      <c r="M6" s="1133"/>
      <c r="N6" s="1133"/>
      <c r="O6" s="1133"/>
      <c r="P6" s="3173"/>
      <c r="Q6" s="3174"/>
      <c r="R6" s="3153"/>
      <c r="S6" s="3154"/>
      <c r="T6" s="3175"/>
      <c r="U6" s="3176"/>
      <c r="V6" s="3177"/>
      <c r="W6" s="3177"/>
      <c r="X6" s="1816"/>
      <c r="Y6" s="3175"/>
      <c r="Z6" s="3176"/>
      <c r="AA6" s="3148"/>
      <c r="AB6" s="3148"/>
      <c r="AC6" s="3148"/>
    </row>
    <row r="7" spans="1:29" s="117" customFormat="1" ht="15.75" thickBot="1">
      <c r="A7" s="409" t="s">
        <v>2546</v>
      </c>
      <c r="B7" s="410"/>
      <c r="C7" s="411">
        <f>'数据-取费表'!B2</f>
        <v>43040</v>
      </c>
      <c r="D7" s="412">
        <v>100</v>
      </c>
      <c r="E7" s="413">
        <v>43040</v>
      </c>
      <c r="F7" s="414">
        <f>SUMIF(58:58,YEAR(E7)&amp;"-"&amp;MONTH(E7),59:59)</f>
        <v>100</v>
      </c>
      <c r="G7" s="413">
        <v>43040</v>
      </c>
      <c r="H7" s="412">
        <f>SUMIF(58:58,YEAR(G7)&amp;"-"&amp;MONTH(G7),59:59)</f>
        <v>100</v>
      </c>
      <c r="I7" s="413">
        <v>43040</v>
      </c>
      <c r="J7" s="412">
        <f>SUMIF(58:58,YEAR(I7)&amp;"-"&amp;MONTH(I7),59:59)</f>
        <v>100</v>
      </c>
      <c r="K7" s="2601"/>
      <c r="L7" s="1134"/>
      <c r="M7" s="1135"/>
      <c r="N7" s="1135"/>
      <c r="O7" s="1135"/>
      <c r="P7" s="3149" t="s">
        <v>2547</v>
      </c>
      <c r="Q7" s="3178"/>
      <c r="R7" s="769" t="s">
        <v>23</v>
      </c>
      <c r="S7" s="770">
        <f t="shared" ref="S7:S15" si="0">F7</f>
        <v>100</v>
      </c>
      <c r="T7" s="769" t="s">
        <v>23</v>
      </c>
      <c r="U7" s="770">
        <f t="shared" ref="U7:U15" si="1">H7</f>
        <v>100</v>
      </c>
      <c r="V7" s="769" t="s">
        <v>23</v>
      </c>
      <c r="W7" s="770">
        <f t="shared" ref="W7:W15" si="2">J7</f>
        <v>100</v>
      </c>
      <c r="X7" s="771"/>
      <c r="Y7" s="3149" t="s">
        <v>2547</v>
      </c>
      <c r="Z7" s="3150"/>
      <c r="AA7" s="772">
        <f>D7/F7</f>
        <v>1</v>
      </c>
      <c r="AB7" s="772">
        <f>D7/H7</f>
        <v>1</v>
      </c>
      <c r="AC7" s="772">
        <f>D7/J7</f>
        <v>1</v>
      </c>
    </row>
    <row r="8" spans="1:29" s="117" customFormat="1" ht="15.75" thickBot="1">
      <c r="A8" s="409" t="s">
        <v>2548</v>
      </c>
      <c r="B8" s="410"/>
      <c r="C8" s="415" t="s">
        <v>2549</v>
      </c>
      <c r="D8" s="412">
        <v>100</v>
      </c>
      <c r="E8" s="2602" t="s">
        <v>3128</v>
      </c>
      <c r="F8" s="414">
        <f>SUMIF(61:61,E8,62:62)-SUMIF(61:61,C8,62:62)+100</f>
        <v>100</v>
      </c>
      <c r="G8" s="415" t="s">
        <v>3128</v>
      </c>
      <c r="H8" s="412">
        <f>SUMIF(61:61,G8,62:62)-SUMIF(61:61,C8,62:62)+100</f>
        <v>100</v>
      </c>
      <c r="I8" s="2602" t="s">
        <v>3128</v>
      </c>
      <c r="J8" s="412">
        <f>SUMIF(61:61,I8,62:62)-SUMIF(61:61,C8,62:62)+100</f>
        <v>100</v>
      </c>
      <c r="K8" s="2601"/>
      <c r="L8" s="1134"/>
      <c r="M8" s="1135"/>
      <c r="N8" s="1135"/>
      <c r="O8" s="1135"/>
      <c r="P8" s="3149" t="s">
        <v>2550</v>
      </c>
      <c r="Q8" s="3150"/>
      <c r="R8" s="769" t="s">
        <v>23</v>
      </c>
      <c r="S8" s="770">
        <f t="shared" si="0"/>
        <v>100</v>
      </c>
      <c r="T8" s="769" t="s">
        <v>23</v>
      </c>
      <c r="U8" s="770">
        <f t="shared" si="1"/>
        <v>100</v>
      </c>
      <c r="V8" s="769" t="s">
        <v>23</v>
      </c>
      <c r="W8" s="770">
        <f t="shared" si="2"/>
        <v>100</v>
      </c>
      <c r="X8" s="771"/>
      <c r="Y8" s="3149" t="s">
        <v>2550</v>
      </c>
      <c r="Z8" s="3150"/>
      <c r="AA8" s="772">
        <f t="shared" ref="AA8:AA19" si="3">D8/F8</f>
        <v>1</v>
      </c>
      <c r="AB8" s="772">
        <f t="shared" ref="AB8:AB19" si="4">D8/H8</f>
        <v>1</v>
      </c>
      <c r="AC8" s="772">
        <f t="shared" ref="AC8:AC19" si="5">D8/J8</f>
        <v>1</v>
      </c>
    </row>
    <row r="9" spans="1:29" s="117" customFormat="1">
      <c r="A9" s="416" t="s">
        <v>2551</v>
      </c>
      <c r="B9" s="71" t="s">
        <v>2552</v>
      </c>
      <c r="C9" s="2942" t="s">
        <v>3129</v>
      </c>
      <c r="D9" s="135">
        <v>100</v>
      </c>
      <c r="E9" s="418" t="s">
        <v>3046</v>
      </c>
      <c r="F9" s="419">
        <f>SUMIF(63:63,E9,64:64)-SUMIF(63:63,C9,64:64)+100</f>
        <v>100</v>
      </c>
      <c r="G9" s="420" t="s">
        <v>3046</v>
      </c>
      <c r="H9" s="135">
        <f>SUMIF(63:63,G9,64:64)-SUMIF(63:63,C9,64:64)+100</f>
        <v>100</v>
      </c>
      <c r="I9" s="420" t="s">
        <v>3046</v>
      </c>
      <c r="J9" s="135">
        <f>SUMIF(63:63,I9,64:64)-SUMIF(63:63,C9,64:64)+100</f>
        <v>100</v>
      </c>
      <c r="K9" s="2601"/>
      <c r="L9" s="1134"/>
      <c r="M9" s="1135"/>
      <c r="N9" s="1135"/>
      <c r="O9" s="1135"/>
      <c r="P9" s="3164" t="s">
        <v>2553</v>
      </c>
      <c r="Q9" s="1798" t="str">
        <f t="shared" ref="Q9:Q15" si="6">B9</f>
        <v>用途</v>
      </c>
      <c r="R9" s="769" t="s">
        <v>17</v>
      </c>
      <c r="S9" s="770">
        <f t="shared" si="0"/>
        <v>100</v>
      </c>
      <c r="T9" s="769" t="s">
        <v>17</v>
      </c>
      <c r="U9" s="770">
        <f t="shared" si="1"/>
        <v>100</v>
      </c>
      <c r="V9" s="769" t="s">
        <v>17</v>
      </c>
      <c r="W9" s="770">
        <f t="shared" si="2"/>
        <v>100</v>
      </c>
      <c r="X9" s="771"/>
      <c r="Y9" s="3026" t="s">
        <v>2554</v>
      </c>
      <c r="Z9" s="55" t="str">
        <f t="shared" ref="Z9:Z15" si="7">Q9</f>
        <v>用途</v>
      </c>
      <c r="AA9" s="772">
        <f t="shared" si="3"/>
        <v>1</v>
      </c>
      <c r="AB9" s="772">
        <f t="shared" si="4"/>
        <v>1</v>
      </c>
      <c r="AC9" s="772">
        <f t="shared" si="5"/>
        <v>1</v>
      </c>
    </row>
    <row r="10" spans="1:29" s="428" customFormat="1" ht="27">
      <c r="A10" s="422"/>
      <c r="B10" s="423" t="s">
        <v>2555</v>
      </c>
      <c r="C10" s="424" t="s">
        <v>3130</v>
      </c>
      <c r="D10" s="136">
        <v>100</v>
      </c>
      <c r="E10" s="425" t="s">
        <v>3130</v>
      </c>
      <c r="F10" s="426">
        <f>SUMIF(65:65,E10,66:66)-SUMIF(65:65,C10,66:66)+100</f>
        <v>100</v>
      </c>
      <c r="G10" s="424" t="s">
        <v>3130</v>
      </c>
      <c r="H10" s="136">
        <f>SUMIF(65:65,G10,66:66)-SUMIF(65:65,C10,66:66)+100</f>
        <v>100</v>
      </c>
      <c r="I10" s="424" t="s">
        <v>3130</v>
      </c>
      <c r="J10" s="136">
        <f>SUMIF(65:65,I10,66:66)-SUMIF(65:65,C10,66:66)+100</f>
        <v>100</v>
      </c>
      <c r="K10" s="427">
        <v>2</v>
      </c>
      <c r="L10" s="1137"/>
      <c r="M10" s="1138"/>
      <c r="N10" s="1138"/>
      <c r="O10" s="1138"/>
      <c r="P10" s="3164"/>
      <c r="Q10" s="1798"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772">
        <f t="shared" si="5"/>
        <v>1</v>
      </c>
    </row>
    <row r="11" spans="1:29" ht="15">
      <c r="A11" s="429"/>
      <c r="B11" s="423" t="s">
        <v>2556</v>
      </c>
      <c r="C11" s="430"/>
      <c r="D11" s="136">
        <v>100</v>
      </c>
      <c r="E11" s="431"/>
      <c r="F11" s="426">
        <f>LOOKUP(E11,68:68,69:69)-LOOKUP(C11,68:68,69:69)+100</f>
        <v>100</v>
      </c>
      <c r="G11" s="430"/>
      <c r="H11" s="136">
        <f>LOOKUP(G11,68:68,69:69)-LOOKUP(C11,68:68,69:69)+100</f>
        <v>100</v>
      </c>
      <c r="I11" s="430"/>
      <c r="J11" s="136">
        <f>LOOKUP(I11,68:68,69:69)-LOOKUP(C11,68:68,69:69)+100</f>
        <v>100</v>
      </c>
      <c r="K11" s="427">
        <v>2</v>
      </c>
      <c r="L11" s="1140"/>
      <c r="M11" s="1133"/>
      <c r="N11" s="1133"/>
      <c r="O11" s="1133"/>
      <c r="P11" s="3164"/>
      <c r="Q11" s="1798" t="str">
        <f t="shared" si="6"/>
        <v>容积率</v>
      </c>
      <c r="R11" s="769" t="s">
        <v>21</v>
      </c>
      <c r="S11" s="770">
        <f t="shared" si="0"/>
        <v>100</v>
      </c>
      <c r="T11" s="769" t="s">
        <v>21</v>
      </c>
      <c r="U11" s="770">
        <f t="shared" si="1"/>
        <v>100</v>
      </c>
      <c r="V11" s="769" t="s">
        <v>21</v>
      </c>
      <c r="W11" s="770">
        <f t="shared" si="2"/>
        <v>100</v>
      </c>
      <c r="X11" s="771"/>
      <c r="Y11" s="3026"/>
      <c r="Z11" s="55" t="str">
        <f t="shared" si="7"/>
        <v>容积率</v>
      </c>
      <c r="AA11" s="772">
        <f t="shared" si="3"/>
        <v>1</v>
      </c>
      <c r="AB11" s="772">
        <f t="shared" si="4"/>
        <v>1</v>
      </c>
      <c r="AC11" s="772">
        <f t="shared" si="5"/>
        <v>1</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4"/>
      <c r="M12" s="1135"/>
      <c r="N12" s="1135"/>
      <c r="O12" s="1135"/>
      <c r="P12" s="3164"/>
      <c r="Q12" s="1798">
        <f t="shared" si="6"/>
        <v>111</v>
      </c>
      <c r="R12" s="769" t="s">
        <v>21</v>
      </c>
      <c r="S12" s="770">
        <f t="shared" si="0"/>
        <v>100</v>
      </c>
      <c r="T12" s="769" t="s">
        <v>21</v>
      </c>
      <c r="U12" s="770">
        <f t="shared" si="1"/>
        <v>100</v>
      </c>
      <c r="V12" s="769" t="s">
        <v>21</v>
      </c>
      <c r="W12" s="770">
        <f t="shared" si="2"/>
        <v>100</v>
      </c>
      <c r="X12" s="771"/>
      <c r="Y12" s="3026"/>
      <c r="Z12" s="55">
        <f t="shared" si="7"/>
        <v>111</v>
      </c>
      <c r="AA12" s="772">
        <f>D12/F12</f>
        <v>1</v>
      </c>
      <c r="AB12" s="772">
        <f>D12/H12</f>
        <v>1</v>
      </c>
      <c r="AC12" s="772">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2"/>
      <c r="M13" s="1133"/>
      <c r="N13" s="1133"/>
      <c r="O13" s="1133"/>
      <c r="P13" s="3164"/>
      <c r="Q13" s="1798">
        <f t="shared" si="6"/>
        <v>111</v>
      </c>
      <c r="R13" s="769" t="s">
        <v>21</v>
      </c>
      <c r="S13" s="770">
        <f t="shared" si="0"/>
        <v>100</v>
      </c>
      <c r="T13" s="769" t="s">
        <v>21</v>
      </c>
      <c r="U13" s="770">
        <f t="shared" si="1"/>
        <v>100</v>
      </c>
      <c r="V13" s="769" t="s">
        <v>21</v>
      </c>
      <c r="W13" s="770">
        <f t="shared" si="2"/>
        <v>100</v>
      </c>
      <c r="X13" s="771"/>
      <c r="Y13" s="3026"/>
      <c r="Z13" s="55">
        <f t="shared" si="7"/>
        <v>111</v>
      </c>
      <c r="AA13" s="772">
        <f t="shared" si="3"/>
        <v>1</v>
      </c>
      <c r="AB13" s="772">
        <f t="shared" si="4"/>
        <v>1</v>
      </c>
      <c r="AC13" s="772">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2"/>
      <c r="M14" s="1133"/>
      <c r="N14" s="1133"/>
      <c r="O14" s="1133"/>
      <c r="P14" s="3164"/>
      <c r="Q14" s="1798">
        <f t="shared" si="6"/>
        <v>111</v>
      </c>
      <c r="R14" s="769" t="s">
        <v>21</v>
      </c>
      <c r="S14" s="770">
        <f t="shared" si="0"/>
        <v>100</v>
      </c>
      <c r="T14" s="769" t="s">
        <v>21</v>
      </c>
      <c r="U14" s="770">
        <f t="shared" si="1"/>
        <v>100</v>
      </c>
      <c r="V14" s="769" t="s">
        <v>21</v>
      </c>
      <c r="W14" s="770">
        <f t="shared" si="2"/>
        <v>100</v>
      </c>
      <c r="X14" s="771"/>
      <c r="Y14" s="3026"/>
      <c r="Z14" s="55">
        <f t="shared" si="7"/>
        <v>111</v>
      </c>
      <c r="AA14" s="772">
        <f t="shared" si="3"/>
        <v>1</v>
      </c>
      <c r="AB14" s="772">
        <f t="shared" si="4"/>
        <v>1</v>
      </c>
      <c r="AC14" s="772">
        <f t="shared" si="5"/>
        <v>1</v>
      </c>
    </row>
    <row r="15" spans="1:29" ht="85.5">
      <c r="A15" s="441" t="s">
        <v>2557</v>
      </c>
      <c r="B15" s="69" t="s">
        <v>2084</v>
      </c>
      <c r="C15" s="2606" t="str">
        <f>估价对象房地状况!C3</f>
        <v>估价对象周边居住用地比例大、居住小区规模和社区发展完善，综合评价居住社区成熟度好</v>
      </c>
      <c r="D15" s="442">
        <v>100</v>
      </c>
      <c r="E15" s="445"/>
      <c r="F15" s="442">
        <f>SUMIF(76:76,E16,77:77)-SUMIF(76:76,C16,77:77)+100</f>
        <v>100</v>
      </c>
      <c r="G15" s="443"/>
      <c r="H15" s="442">
        <f>SUMIF(76:76,G16,77:77)-SUMIF(76:76,C16,77:77)+100</f>
        <v>100</v>
      </c>
      <c r="I15" s="443"/>
      <c r="J15" s="442">
        <f>SUMIF(76:76,I16,77:77)-SUMIF(76:76,C16,77:77)+100</f>
        <v>100</v>
      </c>
      <c r="K15" s="446">
        <v>2</v>
      </c>
      <c r="L15" s="1142"/>
      <c r="M15" s="1133"/>
      <c r="N15" s="1133"/>
      <c r="O15" s="1133"/>
      <c r="P15" s="3191" t="s">
        <v>2558</v>
      </c>
      <c r="Q15" s="1813" t="str">
        <f t="shared" si="6"/>
        <v>居住社区成熟度</v>
      </c>
      <c r="R15" s="773" t="s">
        <v>21</v>
      </c>
      <c r="S15" s="774">
        <f t="shared" si="0"/>
        <v>100</v>
      </c>
      <c r="T15" s="773" t="s">
        <v>21</v>
      </c>
      <c r="U15" s="774">
        <f t="shared" si="1"/>
        <v>100</v>
      </c>
      <c r="V15" s="773" t="s">
        <v>21</v>
      </c>
      <c r="W15" s="774">
        <f t="shared" si="2"/>
        <v>100</v>
      </c>
      <c r="X15" s="1816"/>
      <c r="Y15" s="3184" t="s">
        <v>2558</v>
      </c>
      <c r="Z15" s="1817" t="str">
        <f t="shared" si="7"/>
        <v>居住社区成熟度</v>
      </c>
      <c r="AA15" s="1814">
        <f t="shared" si="3"/>
        <v>1</v>
      </c>
      <c r="AB15" s="1814">
        <f t="shared" si="4"/>
        <v>1</v>
      </c>
      <c r="AC15" s="1814">
        <f t="shared" si="5"/>
        <v>1</v>
      </c>
    </row>
    <row r="16" spans="1:29" ht="15">
      <c r="A16" s="429"/>
      <c r="B16" s="447"/>
      <c r="C16" s="448" t="s">
        <v>3131</v>
      </c>
      <c r="D16" s="449"/>
      <c r="E16" s="2607" t="s">
        <v>3131</v>
      </c>
      <c r="F16" s="449"/>
      <c r="G16" s="2608" t="s">
        <v>3131</v>
      </c>
      <c r="H16" s="451"/>
      <c r="I16" s="2608" t="s">
        <v>3131</v>
      </c>
      <c r="J16" s="449"/>
      <c r="K16" s="2609"/>
      <c r="L16" s="1142"/>
      <c r="M16" s="1133"/>
      <c r="N16" s="1133"/>
      <c r="O16" s="1133"/>
      <c r="P16" s="3192"/>
      <c r="Q16" s="1813"/>
      <c r="R16" s="773"/>
      <c r="S16" s="774"/>
      <c r="T16" s="773"/>
      <c r="U16" s="774"/>
      <c r="V16" s="773"/>
      <c r="W16" s="774"/>
      <c r="X16" s="1816"/>
      <c r="Y16" s="3185"/>
      <c r="Z16" s="1817"/>
      <c r="AA16" s="1814">
        <v>1</v>
      </c>
      <c r="AB16" s="1814">
        <v>1</v>
      </c>
      <c r="AC16" s="1814">
        <v>1</v>
      </c>
    </row>
    <row r="17" spans="1:29" ht="71.25">
      <c r="A17" s="429"/>
      <c r="B17" s="452" t="s">
        <v>2095</v>
      </c>
      <c r="C17" s="2610" t="str">
        <f>估价对象房地状况!C6</f>
        <v>估价对象周边道路通达、公共交通通达、停车便捷，综合评价交通便捷度好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v>2</v>
      </c>
      <c r="L17" s="1142"/>
      <c r="M17" s="1133"/>
      <c r="N17" s="1133"/>
      <c r="O17" s="1133"/>
      <c r="P17" s="3192"/>
      <c r="Q17" s="1813" t="str">
        <f>B17</f>
        <v>交通便捷度</v>
      </c>
      <c r="R17" s="773" t="s">
        <v>21</v>
      </c>
      <c r="S17" s="774">
        <f>F17</f>
        <v>100</v>
      </c>
      <c r="T17" s="773" t="s">
        <v>21</v>
      </c>
      <c r="U17" s="774">
        <f>H17</f>
        <v>100</v>
      </c>
      <c r="V17" s="773" t="s">
        <v>21</v>
      </c>
      <c r="W17" s="774">
        <f>J17</f>
        <v>100</v>
      </c>
      <c r="X17" s="1816"/>
      <c r="Y17" s="3185"/>
      <c r="Z17" s="1817" t="str">
        <f>Q17</f>
        <v>交通便捷度</v>
      </c>
      <c r="AA17" s="1814">
        <f t="shared" si="3"/>
        <v>1</v>
      </c>
      <c r="AB17" s="1814">
        <f t="shared" si="4"/>
        <v>1</v>
      </c>
      <c r="AC17" s="1814">
        <f t="shared" si="5"/>
        <v>1</v>
      </c>
    </row>
    <row r="18" spans="1:29" ht="15">
      <c r="A18" s="429"/>
      <c r="B18" s="457"/>
      <c r="C18" s="2611" t="s">
        <v>3131</v>
      </c>
      <c r="D18" s="451"/>
      <c r="E18" s="2612" t="s">
        <v>3131</v>
      </c>
      <c r="F18" s="451"/>
      <c r="G18" s="2613" t="s">
        <v>3131</v>
      </c>
      <c r="H18" s="449"/>
      <c r="I18" s="2613" t="s">
        <v>3131</v>
      </c>
      <c r="J18" s="449"/>
      <c r="K18" s="2609"/>
      <c r="L18" s="1142"/>
      <c r="M18" s="1133"/>
      <c r="N18" s="1133"/>
      <c r="O18" s="1133"/>
      <c r="P18" s="3192"/>
      <c r="Q18" s="1813"/>
      <c r="R18" s="773"/>
      <c r="S18" s="774"/>
      <c r="T18" s="773"/>
      <c r="U18" s="774"/>
      <c r="V18" s="773"/>
      <c r="W18" s="774"/>
      <c r="X18" s="1816"/>
      <c r="Y18" s="3185"/>
      <c r="Z18" s="1817"/>
      <c r="AA18" s="1814">
        <v>1</v>
      </c>
      <c r="AB18" s="1814">
        <v>1</v>
      </c>
      <c r="AC18" s="1814">
        <v>1</v>
      </c>
    </row>
    <row r="19" spans="1:29" ht="42.75">
      <c r="A19" s="429"/>
      <c r="B19" s="452" t="s">
        <v>2093</v>
      </c>
      <c r="C19" s="2610"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v>3</v>
      </c>
      <c r="L19" s="1142"/>
      <c r="M19" s="1133"/>
      <c r="N19" s="1133"/>
      <c r="O19" s="1133"/>
      <c r="P19" s="3192"/>
      <c r="Q19" s="1813" t="str">
        <f>B19</f>
        <v>公共配套设施</v>
      </c>
      <c r="R19" s="773" t="s">
        <v>21</v>
      </c>
      <c r="S19" s="774">
        <f>F19</f>
        <v>100</v>
      </c>
      <c r="T19" s="773" t="s">
        <v>21</v>
      </c>
      <c r="U19" s="774">
        <f>H19</f>
        <v>100</v>
      </c>
      <c r="V19" s="773" t="s">
        <v>21</v>
      </c>
      <c r="W19" s="774">
        <f>J19</f>
        <v>100</v>
      </c>
      <c r="X19" s="1816"/>
      <c r="Y19" s="3185"/>
      <c r="Z19" s="1817" t="str">
        <f>Q19</f>
        <v>公共配套设施</v>
      </c>
      <c r="AA19" s="1814">
        <f t="shared" si="3"/>
        <v>1</v>
      </c>
      <c r="AB19" s="1814">
        <f t="shared" si="4"/>
        <v>1</v>
      </c>
      <c r="AC19" s="1814">
        <f t="shared" si="5"/>
        <v>1</v>
      </c>
    </row>
    <row r="20" spans="1:29" ht="15">
      <c r="A20" s="429"/>
      <c r="B20" s="457"/>
      <c r="C20" s="448" t="s">
        <v>3131</v>
      </c>
      <c r="D20" s="449"/>
      <c r="E20" s="2607" t="s">
        <v>3131</v>
      </c>
      <c r="F20" s="449"/>
      <c r="G20" s="2608" t="s">
        <v>3131</v>
      </c>
      <c r="H20" s="449"/>
      <c r="I20" s="2608" t="s">
        <v>3131</v>
      </c>
      <c r="J20" s="449"/>
      <c r="K20" s="2609"/>
      <c r="L20" s="1142"/>
      <c r="M20" s="1133"/>
      <c r="N20" s="1133"/>
      <c r="O20" s="1133"/>
      <c r="P20" s="3192"/>
      <c r="Q20" s="1813"/>
      <c r="R20" s="773"/>
      <c r="S20" s="774"/>
      <c r="T20" s="773"/>
      <c r="U20" s="774"/>
      <c r="V20" s="773"/>
      <c r="W20" s="774"/>
      <c r="X20" s="1816"/>
      <c r="Y20" s="3185"/>
      <c r="Z20" s="1817"/>
      <c r="AA20" s="1814">
        <v>1</v>
      </c>
      <c r="AB20" s="1814">
        <v>1</v>
      </c>
      <c r="AC20" s="1814">
        <v>1</v>
      </c>
    </row>
    <row r="21" spans="1:29" ht="42.75">
      <c r="A21" s="429"/>
      <c r="B21" s="1386" t="s">
        <v>2096</v>
      </c>
      <c r="C21" s="2610" t="str">
        <f>估价对象房地状况!C8</f>
        <v>估价对象所在区域基础设施水平七通</v>
      </c>
      <c r="D21" s="451">
        <v>100</v>
      </c>
      <c r="E21" s="460"/>
      <c r="F21" s="456">
        <f>SUMIF(82:82,E22,83:83)-SUMIF(82:82,C22,83:83)+100</f>
        <v>100</v>
      </c>
      <c r="G21" s="458"/>
      <c r="H21" s="451">
        <f>SUMIF(82:82,G22,83:83)-SUMIF(82:82,C22,83:83)+100</f>
        <v>100</v>
      </c>
      <c r="I21" s="458"/>
      <c r="J21" s="451">
        <f>SUMIF(82:82,I22,83:83)-SUMIF(82:82,C22,83:83)+100</f>
        <v>100</v>
      </c>
      <c r="K21" s="446">
        <v>1</v>
      </c>
      <c r="L21" s="1142"/>
      <c r="M21" s="1133"/>
      <c r="N21" s="1133"/>
      <c r="O21" s="1133"/>
      <c r="P21" s="3192"/>
      <c r="Q21" s="1813" t="str">
        <f>B21</f>
        <v>基础设施水平</v>
      </c>
      <c r="R21" s="773" t="s">
        <v>17</v>
      </c>
      <c r="S21" s="774">
        <f>F21</f>
        <v>100</v>
      </c>
      <c r="T21" s="773" t="s">
        <v>17</v>
      </c>
      <c r="U21" s="774">
        <f>H21</f>
        <v>100</v>
      </c>
      <c r="V21" s="773" t="s">
        <v>17</v>
      </c>
      <c r="W21" s="774">
        <f>J21</f>
        <v>100</v>
      </c>
      <c r="X21" s="1816"/>
      <c r="Y21" s="3185"/>
      <c r="Z21" s="1817" t="str">
        <f>Q21</f>
        <v>基础设施水平</v>
      </c>
      <c r="AA21" s="1814">
        <f>D21/F21</f>
        <v>1</v>
      </c>
      <c r="AB21" s="1814">
        <f>D21/H21</f>
        <v>1</v>
      </c>
      <c r="AC21" s="1814">
        <f>D21/J21</f>
        <v>1</v>
      </c>
    </row>
    <row r="22" spans="1:29" ht="15">
      <c r="A22" s="429"/>
      <c r="B22" s="1386"/>
      <c r="C22" s="2611" t="s">
        <v>3126</v>
      </c>
      <c r="D22" s="449"/>
      <c r="E22" s="448" t="s">
        <v>3126</v>
      </c>
      <c r="F22" s="449"/>
      <c r="G22" s="2614" t="s">
        <v>3126</v>
      </c>
      <c r="H22" s="449"/>
      <c r="I22" s="448" t="s">
        <v>3126</v>
      </c>
      <c r="J22" s="449"/>
      <c r="K22" s="2615"/>
      <c r="L22" s="1142"/>
      <c r="M22" s="1133"/>
      <c r="N22" s="1133"/>
      <c r="O22" s="1133"/>
      <c r="P22" s="3192"/>
      <c r="Q22" s="1813"/>
      <c r="R22" s="773"/>
      <c r="S22" s="774"/>
      <c r="T22" s="773"/>
      <c r="U22" s="774"/>
      <c r="V22" s="773"/>
      <c r="W22" s="774"/>
      <c r="X22" s="1816"/>
      <c r="Y22" s="3185"/>
      <c r="Z22" s="1817"/>
      <c r="AA22" s="1814">
        <v>1</v>
      </c>
      <c r="AB22" s="1814">
        <v>1</v>
      </c>
      <c r="AC22" s="1814">
        <v>1</v>
      </c>
    </row>
    <row r="23" spans="1:29" ht="57">
      <c r="A23" s="429"/>
      <c r="B23" s="452" t="s">
        <v>2100</v>
      </c>
      <c r="C23" s="2610"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v>2</v>
      </c>
      <c r="L23" s="1142"/>
      <c r="M23" s="1133"/>
      <c r="N23" s="1133"/>
      <c r="O23" s="1133"/>
      <c r="P23" s="3192"/>
      <c r="Q23" s="1813" t="str">
        <f>B23</f>
        <v>自然及人文环境</v>
      </c>
      <c r="R23" s="773" t="s">
        <v>21</v>
      </c>
      <c r="S23" s="774">
        <f>F23</f>
        <v>100</v>
      </c>
      <c r="T23" s="773" t="s">
        <v>21</v>
      </c>
      <c r="U23" s="774">
        <f>H23</f>
        <v>100</v>
      </c>
      <c r="V23" s="773" t="s">
        <v>21</v>
      </c>
      <c r="W23" s="774">
        <f>J23</f>
        <v>100</v>
      </c>
      <c r="X23" s="1816"/>
      <c r="Y23" s="3185"/>
      <c r="Z23" s="1817" t="str">
        <f>Q23</f>
        <v>自然及人文环境</v>
      </c>
      <c r="AA23" s="1814">
        <f>D23/F23</f>
        <v>1</v>
      </c>
      <c r="AB23" s="1814">
        <f>D23/H23</f>
        <v>1</v>
      </c>
      <c r="AC23" s="1814">
        <f>D23/J23</f>
        <v>1</v>
      </c>
    </row>
    <row r="24" spans="1:29" ht="15">
      <c r="A24" s="429"/>
      <c r="B24" s="457"/>
      <c r="C24" s="448" t="s">
        <v>3132</v>
      </c>
      <c r="D24" s="449"/>
      <c r="E24" s="2607" t="s">
        <v>3132</v>
      </c>
      <c r="F24" s="449"/>
      <c r="G24" s="2608" t="s">
        <v>3132</v>
      </c>
      <c r="H24" s="449"/>
      <c r="I24" s="2608" t="s">
        <v>3132</v>
      </c>
      <c r="J24" s="449"/>
      <c r="K24" s="2609"/>
      <c r="L24" s="1142"/>
      <c r="M24" s="1133"/>
      <c r="N24" s="1133"/>
      <c r="O24" s="1133"/>
      <c r="P24" s="3192"/>
      <c r="Q24" s="1813"/>
      <c r="R24" s="773"/>
      <c r="S24" s="774"/>
      <c r="T24" s="773"/>
      <c r="U24" s="774"/>
      <c r="V24" s="773"/>
      <c r="W24" s="774"/>
      <c r="X24" s="1816"/>
      <c r="Y24" s="3185"/>
      <c r="Z24" s="1817"/>
      <c r="AA24" s="1814">
        <v>1</v>
      </c>
      <c r="AB24" s="1814">
        <v>1</v>
      </c>
      <c r="AC24" s="1814">
        <v>1</v>
      </c>
    </row>
    <row r="25" spans="1:29" ht="15">
      <c r="A25" s="429"/>
      <c r="B25" s="423" t="s">
        <v>2559</v>
      </c>
      <c r="C25" s="461"/>
      <c r="D25" s="436">
        <v>100</v>
      </c>
      <c r="E25" s="2616"/>
      <c r="F25" s="436">
        <f>SUMIF(86:86,E25,87:87)-SUMIF(86:86,C25,87:87)+100</f>
        <v>100</v>
      </c>
      <c r="G25" s="2617"/>
      <c r="H25" s="436">
        <f>SUMIF(86:86,G25,87:87)-SUMIF(86:86,C25,87:87)+100</f>
        <v>100</v>
      </c>
      <c r="I25" s="2617"/>
      <c r="J25" s="436">
        <f>SUMIF(86:86,I25,87:87)-SUMIF(86:86,C25,87:87)+100</f>
        <v>100</v>
      </c>
      <c r="K25" s="427">
        <v>2</v>
      </c>
      <c r="L25" s="1142"/>
      <c r="M25" s="1133"/>
      <c r="N25" s="1133"/>
      <c r="O25" s="1133"/>
      <c r="P25" s="3192"/>
      <c r="Q25" s="1813" t="str">
        <f t="shared" ref="Q25:Q46" si="8">B25</f>
        <v>楼层-1</v>
      </c>
      <c r="R25" s="773" t="s">
        <v>21</v>
      </c>
      <c r="S25" s="774">
        <f t="shared" ref="S25:S46" si="9">F25</f>
        <v>100</v>
      </c>
      <c r="T25" s="773" t="s">
        <v>21</v>
      </c>
      <c r="U25" s="774">
        <f t="shared" ref="U25:U46" si="10">H25</f>
        <v>100</v>
      </c>
      <c r="V25" s="773" t="s">
        <v>21</v>
      </c>
      <c r="W25" s="774">
        <f t="shared" ref="W25:W46" si="11">J25</f>
        <v>100</v>
      </c>
      <c r="X25" s="1816"/>
      <c r="Y25" s="3185"/>
      <c r="Z25" s="1817" t="str">
        <f>Q25</f>
        <v>楼层-1</v>
      </c>
      <c r="AA25" s="1814">
        <f t="shared" ref="AA25:AA46" si="12">D25/F25</f>
        <v>1</v>
      </c>
      <c r="AB25" s="1814">
        <f t="shared" ref="AB25:AB46" si="13">D25/H25</f>
        <v>1</v>
      </c>
      <c r="AC25" s="1814">
        <f t="shared" ref="AC25:AC46" si="14">D25/J25</f>
        <v>1</v>
      </c>
    </row>
    <row r="26" spans="1:29" ht="15">
      <c r="A26" s="429"/>
      <c r="B26" s="423" t="s">
        <v>2560</v>
      </c>
      <c r="C26" s="461" t="s">
        <v>3103</v>
      </c>
      <c r="D26" s="436">
        <v>100</v>
      </c>
      <c r="E26" s="2616" t="s">
        <v>3096</v>
      </c>
      <c r="F26" s="436">
        <f>SUMIF(88:88,E26,89:89)-SUMIF(88:88,C26,89:89)+100</f>
        <v>108</v>
      </c>
      <c r="G26" s="2617" t="s">
        <v>3096</v>
      </c>
      <c r="H26" s="436">
        <f>SUMIF(88:88,G26,89:89)-SUMIF(88:88,C26,89:89)+100</f>
        <v>108</v>
      </c>
      <c r="I26" s="2617" t="s">
        <v>3099</v>
      </c>
      <c r="J26" s="436">
        <f>SUMIF(88:88,I26,89:89)-SUMIF(88:88,C26,89:89)+100</f>
        <v>104</v>
      </c>
      <c r="K26" s="427">
        <v>2</v>
      </c>
      <c r="L26" s="1142"/>
      <c r="M26" s="1133"/>
      <c r="N26" s="1133"/>
      <c r="O26" s="1133"/>
      <c r="P26" s="3192"/>
      <c r="Q26" s="1813" t="str">
        <f t="shared" si="8"/>
        <v>朝向</v>
      </c>
      <c r="R26" s="773" t="s">
        <v>21</v>
      </c>
      <c r="S26" s="774">
        <f t="shared" si="9"/>
        <v>108</v>
      </c>
      <c r="T26" s="773" t="s">
        <v>21</v>
      </c>
      <c r="U26" s="774">
        <f t="shared" si="10"/>
        <v>108</v>
      </c>
      <c r="V26" s="773" t="s">
        <v>21</v>
      </c>
      <c r="W26" s="774">
        <f t="shared" si="11"/>
        <v>104</v>
      </c>
      <c r="X26" s="1816"/>
      <c r="Y26" s="3185"/>
      <c r="Z26" s="1817" t="str">
        <f>Q26</f>
        <v>朝向</v>
      </c>
      <c r="AA26" s="1814">
        <f t="shared" si="12"/>
        <v>0.92592592592592593</v>
      </c>
      <c r="AB26" s="1814">
        <f t="shared" si="13"/>
        <v>0.92592592592592593</v>
      </c>
      <c r="AC26" s="1814">
        <f t="shared" si="14"/>
        <v>0.96153846153846156</v>
      </c>
    </row>
    <row r="27" spans="1:29" s="117" customFormat="1" ht="15">
      <c r="A27" s="432"/>
      <c r="B27" s="2953" t="s">
        <v>3155</v>
      </c>
      <c r="C27" s="2954" t="s">
        <v>3161</v>
      </c>
      <c r="D27" s="463">
        <v>100</v>
      </c>
      <c r="E27" s="2955" t="s">
        <v>3159</v>
      </c>
      <c r="F27" s="463">
        <f>SUMIF(90:90,E27,91:91)-SUMIF(90:90,C27,91:91)+100</f>
        <v>103</v>
      </c>
      <c r="G27" s="2956" t="s">
        <v>3162</v>
      </c>
      <c r="H27" s="463">
        <f>SUMIF(90:90,G27,91:91)-SUMIF(90:90,C27,91:91)+100</f>
        <v>103</v>
      </c>
      <c r="I27" s="2956" t="s">
        <v>3157</v>
      </c>
      <c r="J27" s="463">
        <f>SUMIF(90:90,I27,91:91)-SUMIF(90:90,C27,91:91)+100</f>
        <v>106</v>
      </c>
      <c r="K27" s="2604"/>
      <c r="L27" s="1134"/>
      <c r="M27" s="1135"/>
      <c r="N27" s="1135"/>
      <c r="O27" s="1135"/>
      <c r="P27" s="3192"/>
      <c r="Q27" s="1798" t="str">
        <f t="shared" si="8"/>
        <v>楼层</v>
      </c>
      <c r="R27" s="769" t="s">
        <v>21</v>
      </c>
      <c r="S27" s="770">
        <f t="shared" si="9"/>
        <v>103</v>
      </c>
      <c r="T27" s="769" t="s">
        <v>21</v>
      </c>
      <c r="U27" s="770">
        <f t="shared" si="10"/>
        <v>103</v>
      </c>
      <c r="V27" s="769" t="s">
        <v>21</v>
      </c>
      <c r="W27" s="770">
        <f t="shared" si="11"/>
        <v>106</v>
      </c>
      <c r="X27" s="771"/>
      <c r="Y27" s="3185"/>
      <c r="Z27" s="55" t="str">
        <f>Q27</f>
        <v>楼层</v>
      </c>
      <c r="AA27" s="1814">
        <f t="shared" si="12"/>
        <v>0.970873786407767</v>
      </c>
      <c r="AB27" s="1814">
        <f t="shared" si="13"/>
        <v>0.970873786407767</v>
      </c>
      <c r="AC27" s="1814">
        <f t="shared" si="14"/>
        <v>0.94339622641509435</v>
      </c>
    </row>
    <row r="28" spans="1:29" ht="15">
      <c r="A28" s="429"/>
      <c r="B28" s="1388">
        <v>111</v>
      </c>
      <c r="C28" s="435"/>
      <c r="D28" s="436">
        <v>100</v>
      </c>
      <c r="E28" s="435"/>
      <c r="F28" s="436">
        <f>SUMIF(92:92,E28,93:93)-SUMIF(92:92,C28,93:93)+100</f>
        <v>100</v>
      </c>
      <c r="G28" s="2618"/>
      <c r="H28" s="436">
        <f>SUMIF(92:92,G28,93:93)-SUMIF(92:92,C28,93:93)+100</f>
        <v>100</v>
      </c>
      <c r="I28" s="435"/>
      <c r="J28" s="436">
        <f>SUMIF(92:92,I28,93:93)-SUMIF(92:92,C28,93:93)+100</f>
        <v>100</v>
      </c>
      <c r="K28" s="2604"/>
      <c r="L28" s="1142"/>
      <c r="M28" s="1133"/>
      <c r="N28" s="1133"/>
      <c r="O28" s="1133"/>
      <c r="P28" s="3192"/>
      <c r="Q28" s="1813">
        <f t="shared" si="8"/>
        <v>111</v>
      </c>
      <c r="R28" s="773" t="s">
        <v>21</v>
      </c>
      <c r="S28" s="774">
        <f t="shared" si="9"/>
        <v>100</v>
      </c>
      <c r="T28" s="773" t="s">
        <v>21</v>
      </c>
      <c r="U28" s="774">
        <f t="shared" si="10"/>
        <v>100</v>
      </c>
      <c r="V28" s="773" t="s">
        <v>21</v>
      </c>
      <c r="W28" s="774">
        <f t="shared" si="11"/>
        <v>100</v>
      </c>
      <c r="X28" s="1816"/>
      <c r="Y28" s="3185"/>
      <c r="Z28" s="1817">
        <f t="shared" ref="Z28:Z46" si="15">Q28</f>
        <v>111</v>
      </c>
      <c r="AA28" s="1814">
        <f t="shared" si="12"/>
        <v>1</v>
      </c>
      <c r="AB28" s="1814">
        <f t="shared" si="13"/>
        <v>1</v>
      </c>
      <c r="AC28" s="1814">
        <f t="shared" si="14"/>
        <v>1</v>
      </c>
    </row>
    <row r="29" spans="1:29" ht="15">
      <c r="A29" s="429"/>
      <c r="B29" s="1388">
        <v>111</v>
      </c>
      <c r="C29" s="435"/>
      <c r="D29" s="436">
        <v>100</v>
      </c>
      <c r="E29" s="435"/>
      <c r="F29" s="436">
        <f>SUMIF(94:94,E29,95:95)-SUMIF(94:94,C29,95:95)+100</f>
        <v>100</v>
      </c>
      <c r="G29" s="2618"/>
      <c r="H29" s="436">
        <f>SUMIF(94:94,G29,95:95)-SUMIF(94:94,C29,95:95)+100</f>
        <v>100</v>
      </c>
      <c r="I29" s="435"/>
      <c r="J29" s="436">
        <f>SUMIF(94:94,I29,95:95)-SUMIF(94:94,C29,95:95)+100</f>
        <v>100</v>
      </c>
      <c r="K29" s="2604"/>
      <c r="L29" s="1142"/>
      <c r="M29" s="1133"/>
      <c r="N29" s="1133"/>
      <c r="O29" s="1133"/>
      <c r="P29" s="3192"/>
      <c r="Q29" s="1813">
        <f t="shared" si="8"/>
        <v>111</v>
      </c>
      <c r="R29" s="773" t="s">
        <v>21</v>
      </c>
      <c r="S29" s="774">
        <f t="shared" si="9"/>
        <v>100</v>
      </c>
      <c r="T29" s="773" t="s">
        <v>21</v>
      </c>
      <c r="U29" s="774">
        <f t="shared" si="10"/>
        <v>100</v>
      </c>
      <c r="V29" s="773" t="s">
        <v>21</v>
      </c>
      <c r="W29" s="774">
        <f t="shared" si="11"/>
        <v>100</v>
      </c>
      <c r="X29" s="1816"/>
      <c r="Y29" s="3185"/>
      <c r="Z29" s="1817">
        <f t="shared" si="15"/>
        <v>111</v>
      </c>
      <c r="AA29" s="1814">
        <f t="shared" si="12"/>
        <v>1</v>
      </c>
      <c r="AB29" s="1814">
        <f t="shared" si="13"/>
        <v>1</v>
      </c>
      <c r="AC29" s="1814">
        <f t="shared" si="14"/>
        <v>1</v>
      </c>
    </row>
    <row r="30" spans="1:29" ht="15">
      <c r="A30" s="429"/>
      <c r="B30" s="1388">
        <v>111</v>
      </c>
      <c r="C30" s="435"/>
      <c r="D30" s="436">
        <v>100</v>
      </c>
      <c r="E30" s="435"/>
      <c r="F30" s="436">
        <f>SUMIF(96:96,E30,97:97)-SUMIF(96:96,C30,97:97)+100</f>
        <v>100</v>
      </c>
      <c r="G30" s="2618"/>
      <c r="H30" s="436">
        <f>SUMIF(96:96,G30,97:97)-SUMIF(96:96,C30,97:97)+100</f>
        <v>100</v>
      </c>
      <c r="I30" s="435"/>
      <c r="J30" s="436">
        <f>SUMIF(96:96,I30,97:97)-SUMIF(96:96,C30,97:97)+100</f>
        <v>100</v>
      </c>
      <c r="K30" s="2604"/>
      <c r="L30" s="1142"/>
      <c r="M30" s="1133"/>
      <c r="N30" s="1133"/>
      <c r="O30" s="1133"/>
      <c r="P30" s="3192"/>
      <c r="Q30" s="1813">
        <f t="shared" si="8"/>
        <v>111</v>
      </c>
      <c r="R30" s="773" t="s">
        <v>21</v>
      </c>
      <c r="S30" s="774">
        <f t="shared" si="9"/>
        <v>100</v>
      </c>
      <c r="T30" s="773" t="s">
        <v>21</v>
      </c>
      <c r="U30" s="774">
        <f t="shared" si="10"/>
        <v>100</v>
      </c>
      <c r="V30" s="773" t="s">
        <v>21</v>
      </c>
      <c r="W30" s="774">
        <f t="shared" si="11"/>
        <v>100</v>
      </c>
      <c r="X30" s="1816"/>
      <c r="Y30" s="3185"/>
      <c r="Z30" s="1817">
        <f t="shared" si="15"/>
        <v>111</v>
      </c>
      <c r="AA30" s="1814">
        <f t="shared" si="12"/>
        <v>1</v>
      </c>
      <c r="AB30" s="1814">
        <f t="shared" si="13"/>
        <v>1</v>
      </c>
      <c r="AC30" s="1814">
        <f t="shared" si="14"/>
        <v>1</v>
      </c>
    </row>
    <row r="31" spans="1:29" ht="15.75" thickBot="1">
      <c r="A31" s="437"/>
      <c r="B31" s="1388">
        <v>111</v>
      </c>
      <c r="C31" s="438"/>
      <c r="D31" s="439">
        <v>100</v>
      </c>
      <c r="E31" s="438"/>
      <c r="F31" s="439">
        <f>SUMIF(98:98,E31,99:99)-SUMIF(98:98,C31,99:99)+100</f>
        <v>100</v>
      </c>
      <c r="G31" s="2619"/>
      <c r="H31" s="439">
        <f>SUMIF(98:98,G31,99:99)-SUMIF(98:98,C31,99:99)+100</f>
        <v>100</v>
      </c>
      <c r="I31" s="438"/>
      <c r="J31" s="439">
        <f>SUMIF(98:98,I31,99:99)-SUMIF(98:98,C31,99:99)+100</f>
        <v>100</v>
      </c>
      <c r="K31" s="2604"/>
      <c r="L31" s="1142"/>
      <c r="M31" s="1133"/>
      <c r="N31" s="1133"/>
      <c r="O31" s="1133"/>
      <c r="P31" s="3192"/>
      <c r="Q31" s="1813">
        <f t="shared" si="8"/>
        <v>111</v>
      </c>
      <c r="R31" s="773" t="s">
        <v>21</v>
      </c>
      <c r="S31" s="774">
        <f t="shared" si="9"/>
        <v>100</v>
      </c>
      <c r="T31" s="773" t="s">
        <v>21</v>
      </c>
      <c r="U31" s="774">
        <f t="shared" si="10"/>
        <v>100</v>
      </c>
      <c r="V31" s="773" t="s">
        <v>21</v>
      </c>
      <c r="W31" s="774">
        <f t="shared" si="11"/>
        <v>100</v>
      </c>
      <c r="X31" s="1816"/>
      <c r="Y31" s="3185"/>
      <c r="Z31" s="1817">
        <f t="shared" si="15"/>
        <v>111</v>
      </c>
      <c r="AA31" s="1814">
        <f t="shared" si="12"/>
        <v>1</v>
      </c>
      <c r="AB31" s="1814">
        <f t="shared" si="13"/>
        <v>1</v>
      </c>
      <c r="AC31" s="1814">
        <f t="shared" si="14"/>
        <v>1</v>
      </c>
    </row>
    <row r="32" spans="1:29" ht="15">
      <c r="A32" s="441" t="s">
        <v>2561</v>
      </c>
      <c r="B32" s="71" t="s">
        <v>2562</v>
      </c>
      <c r="C32" s="2620" t="s">
        <v>3110</v>
      </c>
      <c r="D32" s="468">
        <v>100</v>
      </c>
      <c r="E32" s="2621" t="s">
        <v>3110</v>
      </c>
      <c r="F32" s="462">
        <f>SUMIF(100:100,E32,101:101)-SUMIF(100:100,C32,101:101)+100</f>
        <v>100</v>
      </c>
      <c r="G32" s="2620" t="s">
        <v>3110</v>
      </c>
      <c r="H32" s="468">
        <f>SUMIF(100:100,G32,101:101)-SUMIF(100:100,C32,101:101)+100</f>
        <v>100</v>
      </c>
      <c r="I32" s="2621" t="s">
        <v>3110</v>
      </c>
      <c r="J32" s="436">
        <f>SUMIF(100:100,I32,101:101)-SUMIF(100:100,C32,101:101)+100</f>
        <v>100</v>
      </c>
      <c r="K32" s="427">
        <v>1</v>
      </c>
      <c r="L32" s="1142"/>
      <c r="M32" s="1133"/>
      <c r="N32" s="1133"/>
      <c r="O32" s="1133"/>
      <c r="P32" s="3186" t="s">
        <v>2563</v>
      </c>
      <c r="Q32" s="1813" t="str">
        <f t="shared" si="8"/>
        <v>建筑类型</v>
      </c>
      <c r="R32" s="773" t="s">
        <v>21</v>
      </c>
      <c r="S32" s="774">
        <f t="shared" si="9"/>
        <v>100</v>
      </c>
      <c r="T32" s="773" t="s">
        <v>21</v>
      </c>
      <c r="U32" s="774">
        <f t="shared" si="10"/>
        <v>100</v>
      </c>
      <c r="V32" s="773" t="s">
        <v>21</v>
      </c>
      <c r="W32" s="774">
        <f t="shared" si="11"/>
        <v>100</v>
      </c>
      <c r="X32" s="1816"/>
      <c r="Y32" s="3189" t="s">
        <v>2563</v>
      </c>
      <c r="Z32" s="1817" t="str">
        <f t="shared" si="15"/>
        <v>建筑类型</v>
      </c>
      <c r="AA32" s="1814">
        <f t="shared" si="12"/>
        <v>1</v>
      </c>
      <c r="AB32" s="1814">
        <f t="shared" si="13"/>
        <v>1</v>
      </c>
      <c r="AC32" s="1814">
        <f t="shared" si="14"/>
        <v>1</v>
      </c>
    </row>
    <row r="33" spans="1:29" s="472" customFormat="1" ht="15">
      <c r="A33" s="469"/>
      <c r="B33" s="423" t="s">
        <v>2564</v>
      </c>
      <c r="C33" s="470">
        <f>'数据-基础表'!I13</f>
        <v>88.84</v>
      </c>
      <c r="D33" s="136">
        <v>100</v>
      </c>
      <c r="E33" s="431">
        <v>361</v>
      </c>
      <c r="F33" s="426">
        <f>LOOKUP(E33,103:103,104:104)-LOOKUP(C33,103:103,104:104)+100</f>
        <v>94</v>
      </c>
      <c r="G33" s="430">
        <v>165.4</v>
      </c>
      <c r="H33" s="136">
        <f>LOOKUP(G33,103:103,104:104)-LOOKUP(C33,103:103,104:104)+100</f>
        <v>98</v>
      </c>
      <c r="I33" s="431">
        <v>79.400000000000006</v>
      </c>
      <c r="J33" s="136">
        <f>LOOKUP(I33,103:103,104:104)-LOOKUP(C33,103:103,104:104)+100</f>
        <v>100</v>
      </c>
      <c r="K33" s="2604"/>
      <c r="L33" s="1140"/>
      <c r="M33" s="1143"/>
      <c r="N33" s="1143"/>
      <c r="O33" s="1143"/>
      <c r="P33" s="3187"/>
      <c r="Q33" s="775" t="str">
        <f t="shared" si="8"/>
        <v>项目建筑规模</v>
      </c>
      <c r="R33" s="776" t="s">
        <v>21</v>
      </c>
      <c r="S33" s="777">
        <f t="shared" si="9"/>
        <v>94</v>
      </c>
      <c r="T33" s="776" t="s">
        <v>21</v>
      </c>
      <c r="U33" s="777">
        <f t="shared" si="10"/>
        <v>98</v>
      </c>
      <c r="V33" s="776" t="s">
        <v>21</v>
      </c>
      <c r="W33" s="777">
        <f t="shared" si="11"/>
        <v>100</v>
      </c>
      <c r="X33" s="778"/>
      <c r="Y33" s="3189"/>
      <c r="Z33" s="779" t="str">
        <f t="shared" si="15"/>
        <v>项目建筑规模</v>
      </c>
      <c r="AA33" s="1814">
        <f t="shared" si="12"/>
        <v>1.0638297872340425</v>
      </c>
      <c r="AB33" s="1814">
        <f t="shared" si="13"/>
        <v>1.0204081632653061</v>
      </c>
      <c r="AC33" s="1814">
        <f t="shared" si="14"/>
        <v>1</v>
      </c>
    </row>
    <row r="34" spans="1:29" ht="15">
      <c r="A34" s="473"/>
      <c r="B34" s="423" t="s">
        <v>2565</v>
      </c>
      <c r="C34" s="2622" t="s">
        <v>3112</v>
      </c>
      <c r="D34" s="436">
        <v>100</v>
      </c>
      <c r="E34" s="2623" t="s">
        <v>3112</v>
      </c>
      <c r="F34" s="462">
        <f>SUMIF(105:105,E34,106:106)-SUMIF(105:105,C34,106:106)+100</f>
        <v>100</v>
      </c>
      <c r="G34" s="2622" t="s">
        <v>3112</v>
      </c>
      <c r="H34" s="436">
        <f>SUMIF(105:105,G34,106:106)-SUMIF(105:105,C34,106:106)+100</f>
        <v>100</v>
      </c>
      <c r="I34" s="2623" t="s">
        <v>3112</v>
      </c>
      <c r="J34" s="436">
        <f>SUMIF(105:105,I34,106:106)-SUMIF(105:105,C34,106:106)+100</f>
        <v>100</v>
      </c>
      <c r="K34" s="427">
        <v>2</v>
      </c>
      <c r="L34" s="1142"/>
      <c r="M34" s="1133"/>
      <c r="N34" s="1133"/>
      <c r="O34" s="1133"/>
      <c r="P34" s="3187"/>
      <c r="Q34" s="1813" t="str">
        <f t="shared" si="8"/>
        <v>建筑结构</v>
      </c>
      <c r="R34" s="773" t="s">
        <v>21</v>
      </c>
      <c r="S34" s="774">
        <f t="shared" si="9"/>
        <v>100</v>
      </c>
      <c r="T34" s="773" t="s">
        <v>21</v>
      </c>
      <c r="U34" s="774">
        <f t="shared" si="10"/>
        <v>100</v>
      </c>
      <c r="V34" s="773" t="s">
        <v>21</v>
      </c>
      <c r="W34" s="774">
        <f t="shared" si="11"/>
        <v>100</v>
      </c>
      <c r="X34" s="1816"/>
      <c r="Y34" s="3189"/>
      <c r="Z34" s="1817" t="str">
        <f t="shared" si="15"/>
        <v>建筑结构</v>
      </c>
      <c r="AA34" s="1814">
        <f t="shared" si="12"/>
        <v>1</v>
      </c>
      <c r="AB34" s="1814">
        <f t="shared" si="13"/>
        <v>1</v>
      </c>
      <c r="AC34" s="1814">
        <f t="shared" si="14"/>
        <v>1</v>
      </c>
    </row>
    <row r="35" spans="1:29" ht="15">
      <c r="A35" s="473"/>
      <c r="B35" s="423" t="s">
        <v>2566</v>
      </c>
      <c r="C35" s="2616" t="s">
        <v>3114</v>
      </c>
      <c r="D35" s="436">
        <v>100</v>
      </c>
      <c r="E35" s="2617" t="s">
        <v>3114</v>
      </c>
      <c r="F35" s="462">
        <f>SUMIF(107:107,E35,108:108)-SUMIF(107:107,C35,108:108)+100</f>
        <v>100</v>
      </c>
      <c r="G35" s="2616" t="s">
        <v>3116</v>
      </c>
      <c r="H35" s="436">
        <f>SUMIF(107:107,G35,108:108)-SUMIF(107:107,C35,108:108)+100</f>
        <v>98</v>
      </c>
      <c r="I35" s="2617" t="s">
        <v>3116</v>
      </c>
      <c r="J35" s="436">
        <f>SUMIF(107:107,I35,108:108)-SUMIF(107:107,C35,108:108)+100</f>
        <v>98</v>
      </c>
      <c r="K35" s="427">
        <v>2</v>
      </c>
      <c r="L35" s="1142"/>
      <c r="M35" s="1133"/>
      <c r="N35" s="1133"/>
      <c r="O35" s="1133"/>
      <c r="P35" s="3187"/>
      <c r="Q35" s="1813" t="str">
        <f t="shared" si="8"/>
        <v>建筑品质</v>
      </c>
      <c r="R35" s="773" t="s">
        <v>21</v>
      </c>
      <c r="S35" s="774">
        <f t="shared" si="9"/>
        <v>100</v>
      </c>
      <c r="T35" s="773" t="s">
        <v>21</v>
      </c>
      <c r="U35" s="774">
        <f t="shared" si="10"/>
        <v>98</v>
      </c>
      <c r="V35" s="773" t="s">
        <v>21</v>
      </c>
      <c r="W35" s="774">
        <f t="shared" si="11"/>
        <v>98</v>
      </c>
      <c r="X35" s="1816"/>
      <c r="Y35" s="3189"/>
      <c r="Z35" s="1817" t="str">
        <f t="shared" si="15"/>
        <v>建筑品质</v>
      </c>
      <c r="AA35" s="1814">
        <f t="shared" si="12"/>
        <v>1</v>
      </c>
      <c r="AB35" s="1814">
        <f t="shared" si="13"/>
        <v>1.0204081632653061</v>
      </c>
      <c r="AC35" s="1814">
        <f t="shared" si="14"/>
        <v>1.0204081632653061</v>
      </c>
    </row>
    <row r="36" spans="1:29" ht="15">
      <c r="A36" s="473"/>
      <c r="B36" s="423" t="s">
        <v>2567</v>
      </c>
      <c r="C36" s="2616" t="s">
        <v>3118</v>
      </c>
      <c r="D36" s="436">
        <v>100</v>
      </c>
      <c r="E36" s="2617" t="s">
        <v>3118</v>
      </c>
      <c r="F36" s="462">
        <f>SUMIF(109:109,E36,110:110)-SUMIF(109:109,C36,110:110)+100</f>
        <v>100</v>
      </c>
      <c r="G36" s="2616" t="s">
        <v>3120</v>
      </c>
      <c r="H36" s="436">
        <f>SUMIF(109:109,G36,110:110)-SUMIF(109:109,C36,110:110)+100</f>
        <v>98</v>
      </c>
      <c r="I36" s="2617" t="s">
        <v>3120</v>
      </c>
      <c r="J36" s="436">
        <f>SUMIF(109:109,I36,110:110)-SUMIF(109:109,C36,110:110)+100</f>
        <v>98</v>
      </c>
      <c r="K36" s="427">
        <v>2</v>
      </c>
      <c r="L36" s="1142"/>
      <c r="M36" s="1133"/>
      <c r="N36" s="1133"/>
      <c r="O36" s="1133"/>
      <c r="P36" s="3187"/>
      <c r="Q36" s="1813" t="str">
        <f t="shared" si="8"/>
        <v>公共部分装修</v>
      </c>
      <c r="R36" s="773" t="s">
        <v>21</v>
      </c>
      <c r="S36" s="774">
        <f t="shared" si="9"/>
        <v>100</v>
      </c>
      <c r="T36" s="773" t="s">
        <v>21</v>
      </c>
      <c r="U36" s="774">
        <f t="shared" si="10"/>
        <v>98</v>
      </c>
      <c r="V36" s="773" t="s">
        <v>21</v>
      </c>
      <c r="W36" s="774">
        <f t="shared" si="11"/>
        <v>98</v>
      </c>
      <c r="X36" s="1816"/>
      <c r="Y36" s="3189"/>
      <c r="Z36" s="1817" t="str">
        <f t="shared" si="15"/>
        <v>公共部分装修</v>
      </c>
      <c r="AA36" s="1814">
        <f t="shared" si="12"/>
        <v>1</v>
      </c>
      <c r="AB36" s="1814">
        <f t="shared" si="13"/>
        <v>1.0204081632653061</v>
      </c>
      <c r="AC36" s="1814">
        <f t="shared" si="14"/>
        <v>1.0204081632653061</v>
      </c>
    </row>
    <row r="37" spans="1:29" s="117" customFormat="1" ht="15">
      <c r="A37" s="474"/>
      <c r="B37" s="423" t="s">
        <v>2568</v>
      </c>
      <c r="C37" s="475">
        <v>0.9</v>
      </c>
      <c r="D37" s="136">
        <v>100</v>
      </c>
      <c r="E37" s="475">
        <v>0.82</v>
      </c>
      <c r="F37" s="426">
        <f>LOOKUP(E37,112:112,113:113)-LOOKUP(C37,112:112,113:113)+100</f>
        <v>99</v>
      </c>
      <c r="G37" s="477">
        <v>0.7</v>
      </c>
      <c r="H37" s="136">
        <f>LOOKUP(G37,112:112,113:113)-LOOKUP(C37,112:112,113:113)+100</f>
        <v>98</v>
      </c>
      <c r="I37" s="476">
        <v>0.7</v>
      </c>
      <c r="J37" s="136">
        <f>LOOKUP(I37,112:112,113:113)-LOOKUP(C37,112:112,113:113)+100</f>
        <v>98</v>
      </c>
      <c r="K37" s="427">
        <v>1</v>
      </c>
      <c r="L37" s="1134"/>
      <c r="M37" s="1135"/>
      <c r="N37" s="1135"/>
      <c r="O37" s="1135"/>
      <c r="P37" s="3187"/>
      <c r="Q37" s="1798" t="str">
        <f t="shared" si="8"/>
        <v>成新度</v>
      </c>
      <c r="R37" s="769" t="s">
        <v>21</v>
      </c>
      <c r="S37" s="770">
        <f t="shared" si="9"/>
        <v>99</v>
      </c>
      <c r="T37" s="769" t="s">
        <v>21</v>
      </c>
      <c r="U37" s="770">
        <f t="shared" si="10"/>
        <v>98</v>
      </c>
      <c r="V37" s="769" t="s">
        <v>21</v>
      </c>
      <c r="W37" s="770">
        <f t="shared" si="11"/>
        <v>98</v>
      </c>
      <c r="X37" s="771"/>
      <c r="Y37" s="3189"/>
      <c r="Z37" s="55" t="str">
        <f t="shared" si="15"/>
        <v>成新度</v>
      </c>
      <c r="AA37" s="772">
        <f t="shared" si="12"/>
        <v>1.0101010101010102</v>
      </c>
      <c r="AB37" s="772">
        <f t="shared" si="13"/>
        <v>1.0204081632653061</v>
      </c>
      <c r="AC37" s="772">
        <f t="shared" si="14"/>
        <v>1.0204081632653061</v>
      </c>
    </row>
    <row r="38" spans="1:29" ht="15">
      <c r="A38" s="473"/>
      <c r="B38" s="423" t="s">
        <v>2569</v>
      </c>
      <c r="C38" s="2616" t="s">
        <v>3124</v>
      </c>
      <c r="D38" s="436">
        <v>100</v>
      </c>
      <c r="E38" s="2617" t="s">
        <v>3124</v>
      </c>
      <c r="F38" s="462">
        <f>SUMIF(114:114,E38,115:115)-SUMIF(114:114,C38,115:115)+100</f>
        <v>100</v>
      </c>
      <c r="G38" s="2616" t="s">
        <v>3116</v>
      </c>
      <c r="H38" s="436">
        <f>SUMIF(114:114,G38,115:115)-SUMIF(114:114,C38,115:115)+100</f>
        <v>99</v>
      </c>
      <c r="I38" s="2617" t="s">
        <v>3116</v>
      </c>
      <c r="J38" s="436">
        <f>SUMIF(114:114,I38,115:115)-SUMIF(114:114,C38,115:115)+100</f>
        <v>99</v>
      </c>
      <c r="K38" s="427">
        <v>1</v>
      </c>
      <c r="L38" s="1142"/>
      <c r="M38" s="1133"/>
      <c r="N38" s="1133"/>
      <c r="O38" s="1133"/>
      <c r="P38" s="3187" t="s">
        <v>2563</v>
      </c>
      <c r="Q38" s="1813" t="str">
        <f t="shared" si="8"/>
        <v>物业管理</v>
      </c>
      <c r="R38" s="773" t="s">
        <v>21</v>
      </c>
      <c r="S38" s="774">
        <f t="shared" si="9"/>
        <v>100</v>
      </c>
      <c r="T38" s="773" t="s">
        <v>21</v>
      </c>
      <c r="U38" s="774">
        <f t="shared" si="10"/>
        <v>99</v>
      </c>
      <c r="V38" s="773" t="s">
        <v>21</v>
      </c>
      <c r="W38" s="774">
        <f t="shared" si="11"/>
        <v>99</v>
      </c>
      <c r="X38" s="1816"/>
      <c r="Y38" s="3189" t="s">
        <v>2563</v>
      </c>
      <c r="Z38" s="1817" t="str">
        <f t="shared" si="15"/>
        <v>物业管理</v>
      </c>
      <c r="AA38" s="1814">
        <f t="shared" si="12"/>
        <v>1</v>
      </c>
      <c r="AB38" s="1814">
        <f t="shared" si="13"/>
        <v>1.0101010101010102</v>
      </c>
      <c r="AC38" s="1814">
        <f t="shared" si="14"/>
        <v>1.0101010101010102</v>
      </c>
    </row>
    <row r="39" spans="1:29" ht="15">
      <c r="A39" s="473"/>
      <c r="B39" s="423" t="s">
        <v>2570</v>
      </c>
      <c r="C39" s="2616" t="s">
        <v>3126</v>
      </c>
      <c r="D39" s="436">
        <v>100</v>
      </c>
      <c r="E39" s="2617" t="s">
        <v>3126</v>
      </c>
      <c r="F39" s="462">
        <f>SUMIF(116:116,E39,117:117)-SUMIF(116:116,C39,117:117)+100</f>
        <v>100</v>
      </c>
      <c r="G39" s="2616" t="s">
        <v>3126</v>
      </c>
      <c r="H39" s="436">
        <f>SUMIF(116:116,G39,117:117)-SUMIF(116:116,C39,117:117)+100</f>
        <v>100</v>
      </c>
      <c r="I39" s="2617" t="s">
        <v>3126</v>
      </c>
      <c r="J39" s="436">
        <f>SUMIF(116:116,I39,117:117)-SUMIF(116:116,C39,117:117)+100</f>
        <v>100</v>
      </c>
      <c r="K39" s="427">
        <v>2</v>
      </c>
      <c r="L39" s="1142"/>
      <c r="M39" s="1133"/>
      <c r="N39" s="1133"/>
      <c r="O39" s="1133"/>
      <c r="P39" s="3187"/>
      <c r="Q39" s="1813" t="str">
        <f t="shared" si="8"/>
        <v>市政基础设施</v>
      </c>
      <c r="R39" s="773" t="s">
        <v>21</v>
      </c>
      <c r="S39" s="774">
        <f t="shared" si="9"/>
        <v>100</v>
      </c>
      <c r="T39" s="773" t="s">
        <v>21</v>
      </c>
      <c r="U39" s="774">
        <f t="shared" si="10"/>
        <v>100</v>
      </c>
      <c r="V39" s="773" t="s">
        <v>21</v>
      </c>
      <c r="W39" s="774">
        <f t="shared" si="11"/>
        <v>100</v>
      </c>
      <c r="X39" s="1816"/>
      <c r="Y39" s="3189"/>
      <c r="Z39" s="1817" t="str">
        <f t="shared" si="15"/>
        <v>市政基础设施</v>
      </c>
      <c r="AA39" s="1814">
        <f t="shared" si="12"/>
        <v>1</v>
      </c>
      <c r="AB39" s="1814">
        <f t="shared" si="13"/>
        <v>1</v>
      </c>
      <c r="AC39" s="1814">
        <f t="shared" si="14"/>
        <v>1</v>
      </c>
    </row>
    <row r="40" spans="1:29" ht="15">
      <c r="A40" s="473"/>
      <c r="B40" s="423" t="s">
        <v>2571</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v>2</v>
      </c>
      <c r="L40" s="1142"/>
      <c r="M40" s="1133"/>
      <c r="N40" s="1133"/>
      <c r="O40" s="1133"/>
      <c r="P40" s="3187"/>
      <c r="Q40" s="1813" t="str">
        <f t="shared" si="8"/>
        <v>房型</v>
      </c>
      <c r="R40" s="773" t="s">
        <v>21</v>
      </c>
      <c r="S40" s="774">
        <f t="shared" si="9"/>
        <v>100</v>
      </c>
      <c r="T40" s="773" t="s">
        <v>21</v>
      </c>
      <c r="U40" s="774">
        <f t="shared" si="10"/>
        <v>100</v>
      </c>
      <c r="V40" s="773" t="s">
        <v>21</v>
      </c>
      <c r="W40" s="774">
        <f t="shared" si="11"/>
        <v>100</v>
      </c>
      <c r="X40" s="1816"/>
      <c r="Y40" s="3189"/>
      <c r="Z40" s="1817" t="str">
        <f t="shared" si="15"/>
        <v>房型</v>
      </c>
      <c r="AA40" s="1814">
        <f t="shared" si="12"/>
        <v>1</v>
      </c>
      <c r="AB40" s="1814">
        <f t="shared" si="13"/>
        <v>1</v>
      </c>
      <c r="AC40" s="1814">
        <f t="shared" si="14"/>
        <v>1</v>
      </c>
    </row>
    <row r="41" spans="1:29" s="472" customFormat="1" ht="28.5">
      <c r="A41" s="469"/>
      <c r="B41" s="423" t="s">
        <v>2572</v>
      </c>
      <c r="C41" s="2944" t="s">
        <v>3136</v>
      </c>
      <c r="D41" s="136">
        <v>100</v>
      </c>
      <c r="E41" s="431" t="s">
        <v>3133</v>
      </c>
      <c r="F41" s="426">
        <f>SUMIF(120:120,E41,121:121)-SUMIF(120:120,C41,121:121)+100</f>
        <v>100</v>
      </c>
      <c r="G41" s="430" t="s">
        <v>3134</v>
      </c>
      <c r="H41" s="136">
        <f>SUMIF(120:120,G41,121:121)-SUMIF(120:120,C41,121:121)+100</f>
        <v>100</v>
      </c>
      <c r="I41" s="478" t="s">
        <v>3135</v>
      </c>
      <c r="J41" s="436">
        <f>SUMIF(120:120,I41,121:121)-SUMIF(120:120,C41,121:121)+100</f>
        <v>100</v>
      </c>
      <c r="K41" s="2604"/>
      <c r="L41" s="1140"/>
      <c r="M41" s="1143"/>
      <c r="N41" s="1143"/>
      <c r="O41" s="1143"/>
      <c r="P41" s="3187"/>
      <c r="Q41" s="775" t="str">
        <f t="shared" si="8"/>
        <v>单套/主力户型建筑面积</v>
      </c>
      <c r="R41" s="776" t="s">
        <v>21</v>
      </c>
      <c r="S41" s="777">
        <f t="shared" si="9"/>
        <v>100</v>
      </c>
      <c r="T41" s="776" t="s">
        <v>21</v>
      </c>
      <c r="U41" s="777">
        <f t="shared" si="10"/>
        <v>100</v>
      </c>
      <c r="V41" s="776" t="s">
        <v>21</v>
      </c>
      <c r="W41" s="777">
        <f t="shared" si="11"/>
        <v>100</v>
      </c>
      <c r="X41" s="778"/>
      <c r="Y41" s="3189"/>
      <c r="Z41" s="779" t="str">
        <f t="shared" si="15"/>
        <v>单套/主力户型建筑面积</v>
      </c>
      <c r="AA41" s="1814">
        <f t="shared" si="12"/>
        <v>1</v>
      </c>
      <c r="AB41" s="1814">
        <f t="shared" si="13"/>
        <v>1</v>
      </c>
      <c r="AC41" s="1814">
        <f t="shared" si="14"/>
        <v>1</v>
      </c>
    </row>
    <row r="42" spans="1:29" ht="15">
      <c r="A42" s="473"/>
      <c r="B42" s="423" t="s">
        <v>2573</v>
      </c>
      <c r="C42" s="2943" t="s">
        <v>3118</v>
      </c>
      <c r="D42" s="436">
        <v>100</v>
      </c>
      <c r="E42" s="2617" t="s">
        <v>3118</v>
      </c>
      <c r="F42" s="462">
        <f>SUMIF(122:122,E42,123:123)-SUMIF(122:122,C42,123:123)+100</f>
        <v>100</v>
      </c>
      <c r="G42" s="2616" t="s">
        <v>3118</v>
      </c>
      <c r="H42" s="436">
        <f>SUMIF(122:122,G42,123:123)-SUMIF(122:122,C42,123:123)+100</f>
        <v>100</v>
      </c>
      <c r="I42" s="2617" t="s">
        <v>3118</v>
      </c>
      <c r="J42" s="436">
        <f>SUMIF(122:122,I42,123:123)-SUMIF(122:122,C42,123:123)+100</f>
        <v>100</v>
      </c>
      <c r="K42" s="427">
        <v>2</v>
      </c>
      <c r="L42" s="1142"/>
      <c r="M42" s="1133"/>
      <c r="N42" s="1133"/>
      <c r="O42" s="1133"/>
      <c r="P42" s="3187"/>
      <c r="Q42" s="1813" t="str">
        <f t="shared" si="8"/>
        <v>内部装修</v>
      </c>
      <c r="R42" s="773" t="s">
        <v>21</v>
      </c>
      <c r="S42" s="774">
        <f t="shared" si="9"/>
        <v>100</v>
      </c>
      <c r="T42" s="773" t="s">
        <v>21</v>
      </c>
      <c r="U42" s="774">
        <f t="shared" si="10"/>
        <v>100</v>
      </c>
      <c r="V42" s="773" t="s">
        <v>21</v>
      </c>
      <c r="W42" s="774">
        <f t="shared" si="11"/>
        <v>100</v>
      </c>
      <c r="X42" s="1816"/>
      <c r="Y42" s="3189"/>
      <c r="Z42" s="1817" t="str">
        <f t="shared" si="15"/>
        <v>内部装修</v>
      </c>
      <c r="AA42" s="1814">
        <f t="shared" si="12"/>
        <v>1</v>
      </c>
      <c r="AB42" s="1814">
        <f t="shared" si="13"/>
        <v>1</v>
      </c>
      <c r="AC42" s="1814">
        <f t="shared" si="14"/>
        <v>1</v>
      </c>
    </row>
    <row r="43" spans="1:29" ht="15">
      <c r="A43" s="473"/>
      <c r="B43" s="423" t="s">
        <v>2574</v>
      </c>
      <c r="C43" s="2616" t="s">
        <v>3132</v>
      </c>
      <c r="D43" s="436">
        <v>100</v>
      </c>
      <c r="E43" s="2617" t="s">
        <v>3132</v>
      </c>
      <c r="F43" s="462">
        <f>SUMIF(124:124,E43,125:125)-SUMIF(124:124,C43,125:125)+100</f>
        <v>100</v>
      </c>
      <c r="G43" s="2616" t="s">
        <v>3132</v>
      </c>
      <c r="H43" s="436">
        <f>SUMIF(124:124,G43,125:125)-SUMIF(124:124,C43,125:125)+100</f>
        <v>100</v>
      </c>
      <c r="I43" s="2617" t="s">
        <v>3132</v>
      </c>
      <c r="J43" s="436">
        <f>SUMIF(124:124,I43,125:125)-SUMIF(124:124,C43,125:125)+100</f>
        <v>100</v>
      </c>
      <c r="K43" s="427">
        <v>1</v>
      </c>
      <c r="L43" s="1142"/>
      <c r="M43" s="1133"/>
      <c r="N43" s="1133"/>
      <c r="O43" s="1133"/>
      <c r="P43" s="3187"/>
      <c r="Q43" s="1813" t="str">
        <f t="shared" si="8"/>
        <v>内部装修维护情况</v>
      </c>
      <c r="R43" s="773" t="s">
        <v>21</v>
      </c>
      <c r="S43" s="774">
        <f t="shared" si="9"/>
        <v>100</v>
      </c>
      <c r="T43" s="773" t="s">
        <v>21</v>
      </c>
      <c r="U43" s="774">
        <f t="shared" si="10"/>
        <v>100</v>
      </c>
      <c r="V43" s="773" t="s">
        <v>21</v>
      </c>
      <c r="W43" s="774">
        <f t="shared" si="11"/>
        <v>100</v>
      </c>
      <c r="X43" s="1816"/>
      <c r="Y43" s="3189"/>
      <c r="Z43" s="1817" t="str">
        <f t="shared" si="15"/>
        <v>内部装修维护情况</v>
      </c>
      <c r="AA43" s="1814">
        <f t="shared" si="12"/>
        <v>1</v>
      </c>
      <c r="AB43" s="1814">
        <f t="shared" si="13"/>
        <v>1</v>
      </c>
      <c r="AC43" s="1814">
        <f t="shared" si="14"/>
        <v>1</v>
      </c>
    </row>
    <row r="44" spans="1:29" s="117" customFormat="1" ht="15">
      <c r="A44" s="474"/>
      <c r="B44" s="1388">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4"/>
      <c r="M44" s="1135"/>
      <c r="N44" s="1135"/>
      <c r="O44" s="1135"/>
      <c r="P44" s="3187"/>
      <c r="Q44" s="1798">
        <f t="shared" si="8"/>
        <v>111</v>
      </c>
      <c r="R44" s="769" t="s">
        <v>21</v>
      </c>
      <c r="S44" s="770">
        <f t="shared" si="9"/>
        <v>100</v>
      </c>
      <c r="T44" s="769" t="s">
        <v>21</v>
      </c>
      <c r="U44" s="770">
        <f t="shared" si="10"/>
        <v>100</v>
      </c>
      <c r="V44" s="769" t="s">
        <v>21</v>
      </c>
      <c r="W44" s="770">
        <f t="shared" si="11"/>
        <v>100</v>
      </c>
      <c r="X44" s="771"/>
      <c r="Y44" s="3189"/>
      <c r="Z44" s="55">
        <f t="shared" si="15"/>
        <v>111</v>
      </c>
      <c r="AA44" s="772">
        <f t="shared" si="12"/>
        <v>1</v>
      </c>
      <c r="AB44" s="772">
        <f t="shared" si="13"/>
        <v>1</v>
      </c>
      <c r="AC44" s="772">
        <f t="shared" si="14"/>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2"/>
      <c r="M45" s="1133"/>
      <c r="N45" s="1133"/>
      <c r="O45" s="1133"/>
      <c r="P45" s="3187"/>
      <c r="Q45" s="1813">
        <f t="shared" si="8"/>
        <v>111</v>
      </c>
      <c r="R45" s="773" t="s">
        <v>21</v>
      </c>
      <c r="S45" s="774">
        <f t="shared" si="9"/>
        <v>100</v>
      </c>
      <c r="T45" s="773" t="s">
        <v>21</v>
      </c>
      <c r="U45" s="774">
        <f t="shared" si="10"/>
        <v>100</v>
      </c>
      <c r="V45" s="773" t="s">
        <v>21</v>
      </c>
      <c r="W45" s="774">
        <f t="shared" si="11"/>
        <v>100</v>
      </c>
      <c r="X45" s="1816"/>
      <c r="Y45" s="3189"/>
      <c r="Z45" s="1817">
        <f t="shared" si="15"/>
        <v>111</v>
      </c>
      <c r="AA45" s="1814">
        <f t="shared" si="12"/>
        <v>1</v>
      </c>
      <c r="AB45" s="1814">
        <f t="shared" si="13"/>
        <v>1</v>
      </c>
      <c r="AC45" s="1814">
        <f t="shared" si="14"/>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2"/>
      <c r="M46" s="1133"/>
      <c r="N46" s="1133"/>
      <c r="O46" s="1133"/>
      <c r="P46" s="3188"/>
      <c r="Q46" s="1813">
        <f t="shared" si="8"/>
        <v>111</v>
      </c>
      <c r="R46" s="773" t="s">
        <v>20</v>
      </c>
      <c r="S46" s="774">
        <f t="shared" si="9"/>
        <v>100</v>
      </c>
      <c r="T46" s="773" t="s">
        <v>20</v>
      </c>
      <c r="U46" s="774">
        <f t="shared" si="10"/>
        <v>100</v>
      </c>
      <c r="V46" s="773" t="s">
        <v>20</v>
      </c>
      <c r="W46" s="774">
        <f t="shared" si="11"/>
        <v>100</v>
      </c>
      <c r="X46" s="1816"/>
      <c r="Y46" s="3190"/>
      <c r="Z46" s="1817">
        <f t="shared" si="15"/>
        <v>111</v>
      </c>
      <c r="AA46" s="1814">
        <f t="shared" si="12"/>
        <v>1</v>
      </c>
      <c r="AB46" s="1814">
        <f t="shared" si="13"/>
        <v>1</v>
      </c>
      <c r="AC46" s="1814">
        <f t="shared" si="14"/>
        <v>1</v>
      </c>
    </row>
    <row r="47" spans="1:29" ht="15">
      <c r="A47" s="480" t="s">
        <v>2575</v>
      </c>
      <c r="B47" s="481"/>
      <c r="C47" s="1409" t="s">
        <v>19</v>
      </c>
      <c r="D47" s="1410"/>
      <c r="E47" s="1411">
        <v>146814</v>
      </c>
      <c r="F47" s="1412"/>
      <c r="G47" s="1413">
        <v>133011</v>
      </c>
      <c r="H47" s="1414"/>
      <c r="I47" s="1411">
        <v>142317</v>
      </c>
      <c r="J47" s="1414"/>
      <c r="K47" s="2624"/>
      <c r="L47" s="1145"/>
      <c r="M47" s="1146"/>
      <c r="N47" s="1133"/>
      <c r="O47" s="1146"/>
      <c r="P47" s="3182" t="str">
        <f>A47</f>
        <v>成交单价（元/平方米）</v>
      </c>
      <c r="Q47" s="3182"/>
      <c r="R47" s="3183">
        <f>E47</f>
        <v>146814</v>
      </c>
      <c r="S47" s="3183"/>
      <c r="T47" s="3183">
        <f>G47</f>
        <v>133011</v>
      </c>
      <c r="U47" s="3183"/>
      <c r="V47" s="3183">
        <f>I47</f>
        <v>142317</v>
      </c>
      <c r="W47" s="3183"/>
      <c r="X47" s="758"/>
      <c r="Y47" s="780"/>
      <c r="Z47" s="758"/>
      <c r="AA47" s="758"/>
      <c r="AB47" s="758"/>
      <c r="AC47" s="758"/>
    </row>
    <row r="48" spans="1:29" ht="15.75" thickBot="1">
      <c r="A48" s="487" t="s">
        <v>2576</v>
      </c>
      <c r="B48" s="488"/>
      <c r="C48" s="1415">
        <f>R49</f>
        <v>137105</v>
      </c>
      <c r="D48" s="1416"/>
      <c r="E48" s="1417">
        <f>R48</f>
        <v>141822</v>
      </c>
      <c r="F48" s="1417"/>
      <c r="G48" s="1415">
        <f>T48</f>
        <v>130944</v>
      </c>
      <c r="H48" s="1416"/>
      <c r="I48" s="1417">
        <f>V48</f>
        <v>138549</v>
      </c>
      <c r="J48" s="1416"/>
      <c r="K48" s="2625"/>
      <c r="L48" s="1145"/>
      <c r="M48" s="1146"/>
      <c r="N48" s="1146"/>
      <c r="O48" s="1146"/>
      <c r="P48" s="3182" t="str">
        <f>A48</f>
        <v>比较价值（元/平方米）</v>
      </c>
      <c r="Q48" s="3182"/>
      <c r="R48" s="3183">
        <f>IF(F1="售价",ROUND(PRODUCT(R47,AA7:AA46),0),ROUND(PRODUCT(R47,AA7:AA46),1))</f>
        <v>141822</v>
      </c>
      <c r="S48" s="3183"/>
      <c r="T48" s="3183">
        <f>IF(F1="售价",ROUND(PRODUCT(T47,AB7:AB46),0),ROUND(PRODUCT(T47,AB7:AB46),1))</f>
        <v>130944</v>
      </c>
      <c r="U48" s="3183"/>
      <c r="V48" s="3183">
        <f>IF(F1="售价",ROUND(PRODUCT(V47,AC7:AC46),0),ROUND(PRODUCT(V47,AC7:AC46),1))</f>
        <v>138549</v>
      </c>
      <c r="W48" s="3183"/>
      <c r="X48" s="758"/>
      <c r="Y48" s="758"/>
      <c r="Z48" s="758"/>
      <c r="AA48" s="758"/>
      <c r="AB48" s="758"/>
      <c r="AC48" s="758"/>
    </row>
    <row r="49" spans="1:29" ht="15.75" thickBot="1">
      <c r="A49" s="493" t="s">
        <v>3137</v>
      </c>
      <c r="B49" s="494"/>
      <c r="C49" s="1418">
        <f>R49</f>
        <v>137105</v>
      </c>
      <c r="D49" s="1419"/>
      <c r="E49" s="1419"/>
      <c r="F49" s="1419"/>
      <c r="G49" s="1419"/>
      <c r="H49" s="1419"/>
      <c r="I49" s="1419"/>
      <c r="J49" s="1419"/>
      <c r="K49" s="2626"/>
      <c r="L49" s="1145"/>
      <c r="M49" s="1146"/>
      <c r="N49" s="1146"/>
      <c r="O49" s="1146"/>
      <c r="P49" s="3179" t="str">
        <f>A49</f>
        <v>估价对象住宅用房的比较价值（楼面单价，元/平方米）</v>
      </c>
      <c r="Q49" s="3180"/>
      <c r="R49" s="3181">
        <f>IF(F1="售价",ROUND(AVERAGE(R48:V48),0),ROUND(AVERAGE(R48:V48),1))</f>
        <v>137105</v>
      </c>
      <c r="S49" s="3181"/>
      <c r="T49" s="3181"/>
      <c r="U49" s="3181"/>
      <c r="V49" s="3181"/>
      <c r="W49" s="318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8" t="s">
        <v>2577</v>
      </c>
      <c r="D52" s="499"/>
      <c r="E52" s="500">
        <f>IF(E47&lt;E48,E48/E47-1,E47/E48-1)</f>
        <v>3.5199052333206415E-2</v>
      </c>
      <c r="F52" s="501" t="str">
        <f>IF(OR(E52&gt;=0.3,E52&lt;=-0.3),"超过30%","")</f>
        <v/>
      </c>
      <c r="G52" s="500">
        <f>IF(G47&lt;G48,G48/G47-1,G47/G48-1)</f>
        <v>1.5785373900293331E-2</v>
      </c>
      <c r="H52" s="501" t="str">
        <f>IF(OR(G52&gt;=0.3,G52&lt;=-0.3),"超过30%","")</f>
        <v/>
      </c>
      <c r="I52" s="500">
        <f>IF(I47&lt;I48,I48/I47-1,I47/I48-1)</f>
        <v>2.7196154429119046E-2</v>
      </c>
      <c r="J52" s="501" t="str">
        <f>IF(OR(I52&gt;=0.3,I52&lt;=-0.3),"超过30%","")</f>
        <v/>
      </c>
      <c r="K52" s="1107"/>
      <c r="L52" s="1108"/>
      <c r="M52" s="1146"/>
      <c r="N52" s="1146"/>
      <c r="O52" s="1146"/>
    </row>
    <row r="53" spans="1:29" ht="13.5" customHeight="1">
      <c r="A53" s="1146"/>
      <c r="B53" s="1146"/>
      <c r="C53" s="498" t="s">
        <v>2578</v>
      </c>
      <c r="D53" s="502"/>
      <c r="E53" s="500">
        <f>IF(E48&lt;G48,G48/E48-1,E48/G48-1)</f>
        <v>8.3073680351906098E-2</v>
      </c>
      <c r="F53" s="501" t="str">
        <f>IF(OR(E53&gt;=0.2,E53&lt;=-0.2),"超过20%","")</f>
        <v/>
      </c>
      <c r="G53" s="500">
        <f>IF(G48&lt;I48,I48/G48-1,G48/I48-1)</f>
        <v>5.8078262463343133E-2</v>
      </c>
      <c r="H53" s="501" t="str">
        <f>IF(OR(G53&gt;=0.2,G53&lt;=-0.2),"超过20%","")</f>
        <v/>
      </c>
      <c r="I53" s="500">
        <f>IF(I48&lt;E48,E48/I48-1,I48/E48-1)</f>
        <v>2.36234112119178E-2</v>
      </c>
      <c r="J53" s="501" t="str">
        <f>IF(OR(I53&gt;=0.2,I53&lt;=-0.2),"超过20%","")</f>
        <v/>
      </c>
      <c r="K53" s="1107"/>
      <c r="L53" s="1108"/>
      <c r="M53" s="1146"/>
      <c r="N53" s="1146"/>
      <c r="O53" s="1146"/>
    </row>
    <row r="54" spans="1:29" s="503" customFormat="1" ht="13.5" customHeight="1">
      <c r="A54" s="1147"/>
      <c r="B54" s="1147"/>
      <c r="C54" s="498" t="s">
        <v>2579</v>
      </c>
      <c r="D54" s="502"/>
      <c r="E54" s="500">
        <f>IF(E47&lt;G47,G47/E47-1,E47/G47-1)</f>
        <v>0.10377337212711724</v>
      </c>
      <c r="F54" s="501" t="str">
        <f>IF(OR(E54&gt;=0.3,E54&lt;=-0.3),"超过30%","")</f>
        <v/>
      </c>
      <c r="G54" s="500">
        <f>IF(G47&lt;I47,I47/G47-1,G47/I47-1)</f>
        <v>6.9964138304350776E-2</v>
      </c>
      <c r="H54" s="501" t="str">
        <f>IF(OR(G54&gt;=0.3,G54&lt;=-0.3),"超过30%","")</f>
        <v/>
      </c>
      <c r="I54" s="500">
        <f>IF(I47&lt;E47,E47/I47-1,I47/E47-1)</f>
        <v>3.1598473829549611E-2</v>
      </c>
      <c r="J54" s="501" t="str">
        <f>IF(OR(I54&gt;=0.3,I54&lt;=-0.3),"超过30%","")</f>
        <v/>
      </c>
      <c r="K54" s="1150"/>
      <c r="L54" s="1151"/>
      <c r="M54" s="1147"/>
      <c r="N54" s="1147"/>
      <c r="O54" s="1147"/>
      <c r="P54" s="2628"/>
    </row>
    <row r="55" spans="1:29" s="503"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9"/>
      <c r="Q57" s="505"/>
    </row>
    <row r="58" spans="1:29" s="509" customFormat="1" ht="15">
      <c r="A58" s="506" t="s">
        <v>2581</v>
      </c>
      <c r="B58" s="507"/>
      <c r="C58" s="1579" t="str">
        <f>YEAR(C7)&amp;"-"&amp;MONTH(C7)</f>
        <v>2017-11</v>
      </c>
      <c r="D58" s="1578">
        <f>EDATE(C58,-1)</f>
        <v>43009</v>
      </c>
      <c r="E58" s="1578">
        <f>EDATE(D58,-1)</f>
        <v>42979</v>
      </c>
      <c r="F58" s="1578">
        <f t="shared" ref="F58:O58" si="16">EDATE(E58,-1)</f>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 t="shared" si="16"/>
        <v>42675</v>
      </c>
      <c r="P58" s="1573"/>
    </row>
    <row r="59" spans="1:29" s="117" customFormat="1" ht="15">
      <c r="A59" s="510"/>
      <c r="B59" s="2630"/>
      <c r="C59" s="1576">
        <v>100</v>
      </c>
      <c r="D59" s="512"/>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2583</v>
      </c>
      <c r="B61" s="511"/>
      <c r="C61" s="523" t="s">
        <v>2584</v>
      </c>
      <c r="D61" s="524"/>
      <c r="E61" s="524"/>
      <c r="F61" s="524"/>
      <c r="G61" s="524"/>
      <c r="H61" s="524"/>
      <c r="I61" s="524"/>
      <c r="J61" s="524"/>
      <c r="K61" s="524"/>
      <c r="L61" s="525"/>
      <c r="M61" s="526"/>
      <c r="N61" s="1153"/>
      <c r="O61" s="1153"/>
      <c r="P61" s="2632"/>
      <c r="Q61" s="505"/>
    </row>
    <row r="62" spans="1:29" s="117" customFormat="1" ht="15.75" thickBot="1">
      <c r="A62" s="522"/>
      <c r="B62" s="511"/>
      <c r="C62" s="512">
        <v>100</v>
      </c>
      <c r="D62" s="513"/>
      <c r="E62" s="513"/>
      <c r="F62" s="513"/>
      <c r="G62" s="513"/>
      <c r="H62" s="513"/>
      <c r="I62" s="513"/>
      <c r="J62" s="513"/>
      <c r="K62" s="513"/>
      <c r="L62" s="513"/>
      <c r="M62" s="515"/>
      <c r="N62" s="1153"/>
      <c r="O62" s="1153"/>
      <c r="P62" s="2631"/>
      <c r="Q62" s="505"/>
    </row>
    <row r="63" spans="1:29">
      <c r="A63" s="528" t="s">
        <v>2585</v>
      </c>
      <c r="B63" s="529" t="s">
        <v>2552</v>
      </c>
      <c r="C63" s="530" t="str">
        <f>C9</f>
        <v>住宅</v>
      </c>
      <c r="D63" s="531"/>
      <c r="E63" s="531"/>
      <c r="F63" s="531"/>
      <c r="G63" s="531"/>
      <c r="H63" s="531"/>
      <c r="I63" s="531"/>
      <c r="J63" s="531"/>
      <c r="K63" s="532"/>
      <c r="L63" s="533"/>
      <c r="M63" s="534"/>
      <c r="N63" s="1154"/>
      <c r="O63" s="1154"/>
      <c r="P63" s="2633"/>
      <c r="Q63" s="505"/>
    </row>
    <row r="64" spans="1:29" ht="15.75" thickBot="1">
      <c r="A64" s="535"/>
      <c r="B64" s="536"/>
      <c r="C64" s="537">
        <v>100</v>
      </c>
      <c r="D64" s="537"/>
      <c r="E64" s="537"/>
      <c r="F64" s="537"/>
      <c r="G64" s="537"/>
      <c r="H64" s="537"/>
      <c r="I64" s="537"/>
      <c r="J64" s="537"/>
      <c r="K64" s="537"/>
      <c r="L64" s="537"/>
      <c r="M64" s="538"/>
      <c r="N64" s="1155"/>
      <c r="O64" s="1155"/>
      <c r="P64" s="2633"/>
      <c r="Q64" s="505"/>
    </row>
    <row r="65" spans="1:17" ht="27.75" thickTop="1">
      <c r="A65" s="535"/>
      <c r="B65" s="539" t="s">
        <v>2555</v>
      </c>
      <c r="C65" s="540" t="s">
        <v>2586</v>
      </c>
      <c r="D65" s="540" t="s">
        <v>2587</v>
      </c>
      <c r="E65" s="540" t="s">
        <v>2588</v>
      </c>
      <c r="F65" s="540" t="s">
        <v>2589</v>
      </c>
      <c r="G65" s="540" t="s">
        <v>2590</v>
      </c>
      <c r="H65" s="540" t="s">
        <v>2591</v>
      </c>
      <c r="I65" s="540" t="s">
        <v>2592</v>
      </c>
      <c r="J65" s="540"/>
      <c r="K65" s="541"/>
      <c r="L65" s="542"/>
      <c r="M65" s="543"/>
      <c r="N65" s="1154"/>
      <c r="O65" s="1154"/>
      <c r="P65" s="2633"/>
      <c r="Q65" s="505"/>
    </row>
    <row r="66" spans="1:17" ht="15.75" thickBot="1">
      <c r="A66" s="535"/>
      <c r="B66" s="544"/>
      <c r="C66" s="545">
        <v>100</v>
      </c>
      <c r="D66" s="545">
        <f t="shared" ref="D66:I66" si="17">C66-$K10</f>
        <v>98</v>
      </c>
      <c r="E66" s="545">
        <f t="shared" si="17"/>
        <v>96</v>
      </c>
      <c r="F66" s="545">
        <f t="shared" si="17"/>
        <v>94</v>
      </c>
      <c r="G66" s="545">
        <f t="shared" si="17"/>
        <v>92</v>
      </c>
      <c r="H66" s="545">
        <f t="shared" si="17"/>
        <v>90</v>
      </c>
      <c r="I66" s="545">
        <f t="shared" si="17"/>
        <v>88</v>
      </c>
      <c r="J66" s="545"/>
      <c r="K66" s="545"/>
      <c r="L66" s="545"/>
      <c r="M66" s="546"/>
      <c r="N66" s="1155"/>
      <c r="O66" s="1155"/>
      <c r="P66" s="2633"/>
      <c r="Q66" s="505"/>
    </row>
    <row r="67" spans="1:17" ht="15.75" thickTop="1">
      <c r="A67" s="535"/>
      <c r="B67" s="547" t="s">
        <v>2556</v>
      </c>
      <c r="C67" s="548" t="str">
        <f>C68&amp;"（含）"&amp;"-"&amp;D68</f>
        <v>0（含）-1</v>
      </c>
      <c r="D67" s="548" t="str">
        <f t="shared" ref="D67:L67" si="18">D68&amp;"（含）"&amp;"-"&amp;E68</f>
        <v>1（含）-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5"/>
      <c r="O67" s="1155"/>
      <c r="P67" s="2633"/>
      <c r="Q67" s="505"/>
    </row>
    <row r="68" spans="1:17" ht="15">
      <c r="A68" s="535"/>
      <c r="B68" s="549"/>
      <c r="C68" s="550">
        <v>0</v>
      </c>
      <c r="D68" s="550">
        <v>1</v>
      </c>
      <c r="E68" s="550"/>
      <c r="F68" s="550"/>
      <c r="G68" s="550"/>
      <c r="H68" s="550"/>
      <c r="I68" s="550"/>
      <c r="J68" s="550"/>
      <c r="K68" s="551"/>
      <c r="L68" s="552"/>
      <c r="M68" s="553"/>
      <c r="N68" s="1154"/>
      <c r="O68" s="1154"/>
      <c r="P68" s="2633"/>
      <c r="Q68" s="505"/>
    </row>
    <row r="69" spans="1:17" ht="15.75" thickBot="1">
      <c r="A69" s="535"/>
      <c r="B69" s="536"/>
      <c r="C69" s="545">
        <v>100</v>
      </c>
      <c r="D69" s="545">
        <f t="shared" ref="D69:M69" si="19">C69-$K11</f>
        <v>98</v>
      </c>
      <c r="E69" s="545">
        <f t="shared" si="19"/>
        <v>96</v>
      </c>
      <c r="F69" s="545">
        <f t="shared" si="19"/>
        <v>94</v>
      </c>
      <c r="G69" s="545">
        <f t="shared" si="19"/>
        <v>92</v>
      </c>
      <c r="H69" s="545">
        <f t="shared" si="19"/>
        <v>90</v>
      </c>
      <c r="I69" s="545">
        <f t="shared" si="19"/>
        <v>88</v>
      </c>
      <c r="J69" s="545">
        <f t="shared" si="19"/>
        <v>86</v>
      </c>
      <c r="K69" s="545">
        <f t="shared" si="19"/>
        <v>84</v>
      </c>
      <c r="L69" s="545">
        <f t="shared" si="19"/>
        <v>82</v>
      </c>
      <c r="M69" s="546">
        <f t="shared" si="19"/>
        <v>80</v>
      </c>
      <c r="N69" s="1155"/>
      <c r="O69" s="1155"/>
      <c r="P69" s="2633"/>
      <c r="Q69" s="505"/>
    </row>
    <row r="70" spans="1:17" s="472" customFormat="1" ht="15.75" thickTop="1">
      <c r="A70" s="554"/>
      <c r="B70" s="539">
        <f>B12</f>
        <v>111</v>
      </c>
      <c r="C70" s="555"/>
      <c r="D70" s="555"/>
      <c r="E70" s="555"/>
      <c r="F70" s="555"/>
      <c r="G70" s="555"/>
      <c r="H70" s="556"/>
      <c r="I70" s="556"/>
      <c r="J70" s="556"/>
      <c r="K70" s="556"/>
      <c r="L70" s="557"/>
      <c r="M70" s="558"/>
      <c r="N70" s="1156"/>
      <c r="O70" s="1156"/>
      <c r="P70" s="2634"/>
      <c r="Q70" s="560"/>
    </row>
    <row r="71" spans="1:17" s="472" customFormat="1" ht="15.75" thickBot="1">
      <c r="A71" s="554"/>
      <c r="B71" s="544"/>
      <c r="C71" s="561"/>
      <c r="D71" s="537"/>
      <c r="E71" s="537"/>
      <c r="F71" s="537"/>
      <c r="G71" s="537"/>
      <c r="H71" s="537"/>
      <c r="I71" s="537"/>
      <c r="J71" s="537"/>
      <c r="K71" s="537"/>
      <c r="L71" s="537"/>
      <c r="M71" s="538"/>
      <c r="N71" s="1155"/>
      <c r="O71" s="1155"/>
      <c r="P71" s="2634"/>
      <c r="Q71" s="560"/>
    </row>
    <row r="72" spans="1:17" s="472" customFormat="1" ht="15.75" thickTop="1">
      <c r="A72" s="554"/>
      <c r="B72" s="539">
        <f>B13</f>
        <v>111</v>
      </c>
      <c r="C72" s="555"/>
      <c r="D72" s="555"/>
      <c r="E72" s="555"/>
      <c r="F72" s="555"/>
      <c r="G72" s="555"/>
      <c r="H72" s="556"/>
      <c r="I72" s="556"/>
      <c r="J72" s="556"/>
      <c r="K72" s="556"/>
      <c r="L72" s="557"/>
      <c r="M72" s="558"/>
      <c r="N72" s="1156"/>
      <c r="O72" s="1156"/>
      <c r="P72" s="2635"/>
      <c r="Q72" s="562"/>
    </row>
    <row r="73" spans="1:17" s="472" customFormat="1" ht="15.75" thickBot="1">
      <c r="A73" s="554"/>
      <c r="B73" s="544"/>
      <c r="C73" s="561"/>
      <c r="D73" s="561"/>
      <c r="E73" s="561"/>
      <c r="F73" s="561"/>
      <c r="G73" s="561"/>
      <c r="H73" s="563"/>
      <c r="I73" s="563"/>
      <c r="J73" s="563"/>
      <c r="K73" s="563"/>
      <c r="L73" s="563"/>
      <c r="M73" s="564"/>
      <c r="N73" s="1156"/>
      <c r="O73" s="1156"/>
      <c r="P73" s="2634"/>
      <c r="Q73" s="560"/>
    </row>
    <row r="74" spans="1:17" s="472" customFormat="1" ht="15.75" thickTop="1">
      <c r="A74" s="554"/>
      <c r="B74" s="547">
        <f>B14</f>
        <v>111</v>
      </c>
      <c r="C74" s="555"/>
      <c r="D74" s="555"/>
      <c r="E74" s="555"/>
      <c r="F74" s="555"/>
      <c r="G74" s="524"/>
      <c r="H74" s="565"/>
      <c r="I74" s="565"/>
      <c r="J74" s="565"/>
      <c r="K74" s="565"/>
      <c r="L74" s="566"/>
      <c r="M74" s="567"/>
      <c r="N74" s="1156"/>
      <c r="O74" s="1156"/>
      <c r="P74" s="2636"/>
      <c r="Q74" s="560"/>
    </row>
    <row r="75" spans="1:17" s="472" customFormat="1" ht="15.75" thickBot="1">
      <c r="A75" s="569"/>
      <c r="B75" s="570"/>
      <c r="C75" s="571"/>
      <c r="D75" s="571"/>
      <c r="E75" s="571"/>
      <c r="F75" s="571"/>
      <c r="G75" s="571"/>
      <c r="H75" s="572"/>
      <c r="I75" s="572"/>
      <c r="J75" s="572"/>
      <c r="K75" s="572"/>
      <c r="L75" s="572"/>
      <c r="M75" s="573"/>
      <c r="N75" s="1156"/>
      <c r="O75" s="1156"/>
      <c r="P75" s="2634"/>
      <c r="Q75" s="560"/>
    </row>
    <row r="76" spans="1:17">
      <c r="A76" s="528" t="s">
        <v>2557</v>
      </c>
      <c r="B76" s="529" t="s">
        <v>2593</v>
      </c>
      <c r="C76" s="574" t="s">
        <v>2594</v>
      </c>
      <c r="D76" s="574" t="s">
        <v>2595</v>
      </c>
      <c r="E76" s="574" t="s">
        <v>2596</v>
      </c>
      <c r="F76" s="574" t="s">
        <v>2597</v>
      </c>
      <c r="G76" s="574" t="s">
        <v>2598</v>
      </c>
      <c r="H76" s="530"/>
      <c r="I76" s="530"/>
      <c r="J76" s="530"/>
      <c r="K76" s="575"/>
      <c r="L76" s="576"/>
      <c r="M76" s="577"/>
      <c r="N76" s="1154"/>
      <c r="O76" s="1154"/>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5"/>
      <c r="O77" s="1155"/>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4"/>
      <c r="O78" s="1154"/>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5"/>
      <c r="O79" s="1155"/>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4"/>
      <c r="O80" s="1154"/>
      <c r="P80" s="2633"/>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5"/>
      <c r="O81" s="1155"/>
      <c r="P81" s="2633"/>
      <c r="Q81" s="505"/>
    </row>
    <row r="82" spans="1:17" ht="15.75" thickTop="1">
      <c r="A82" s="535"/>
      <c r="B82" s="547" t="s">
        <v>2096</v>
      </c>
      <c r="C82" s="540" t="s">
        <v>2601</v>
      </c>
      <c r="D82" s="540" t="s">
        <v>2602</v>
      </c>
      <c r="E82" s="540" t="s">
        <v>2603</v>
      </c>
      <c r="F82" s="540" t="s">
        <v>2604</v>
      </c>
      <c r="G82" s="540" t="s">
        <v>2605</v>
      </c>
      <c r="H82" s="540"/>
      <c r="I82" s="540"/>
      <c r="J82" s="540"/>
      <c r="K82" s="540"/>
      <c r="L82" s="540"/>
      <c r="M82" s="1384"/>
      <c r="N82" s="1155"/>
      <c r="O82" s="1155"/>
      <c r="P82" s="2633"/>
      <c r="Q82" s="505"/>
    </row>
    <row r="83" spans="1:17" ht="15.75" thickBot="1">
      <c r="A83" s="535"/>
      <c r="B83" s="547"/>
      <c r="C83" s="661">
        <v>100</v>
      </c>
      <c r="D83" s="661">
        <f>C83-$K21</f>
        <v>99</v>
      </c>
      <c r="E83" s="661">
        <f>D83-$K21</f>
        <v>98</v>
      </c>
      <c r="F83" s="661">
        <f>E83-$K21</f>
        <v>97</v>
      </c>
      <c r="G83" s="661">
        <f>F83-$K21</f>
        <v>96</v>
      </c>
      <c r="H83" s="661"/>
      <c r="I83" s="661"/>
      <c r="J83" s="661"/>
      <c r="K83" s="661"/>
      <c r="L83" s="661"/>
      <c r="M83" s="451"/>
      <c r="N83" s="1155"/>
      <c r="O83" s="1155"/>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4"/>
      <c r="O84" s="1154"/>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5"/>
      <c r="O85" s="1155"/>
      <c r="P85" s="2633"/>
      <c r="Q85" s="505"/>
    </row>
    <row r="86" spans="1:17" s="117" customFormat="1" ht="15.75" thickTop="1">
      <c r="A86" s="580"/>
      <c r="B86" s="539" t="s">
        <v>2607</v>
      </c>
      <c r="C86" s="2938">
        <v>1</v>
      </c>
      <c r="D86" s="2938">
        <v>2</v>
      </c>
      <c r="E86" s="555">
        <v>3</v>
      </c>
      <c r="F86" s="555">
        <v>4</v>
      </c>
      <c r="G86" s="555">
        <v>5</v>
      </c>
      <c r="H86" s="555">
        <v>6</v>
      </c>
      <c r="I86" s="555">
        <v>7</v>
      </c>
      <c r="J86" s="555">
        <v>8</v>
      </c>
      <c r="K86" s="555">
        <v>9</v>
      </c>
      <c r="L86" s="581">
        <v>10</v>
      </c>
      <c r="M86" s="582">
        <v>11</v>
      </c>
      <c r="N86" s="1153"/>
      <c r="O86" s="1153"/>
      <c r="P86" s="2633"/>
      <c r="Q86" s="505"/>
    </row>
    <row r="87" spans="1:17" s="117" customFormat="1" ht="15.75" thickBot="1">
      <c r="A87" s="580"/>
      <c r="B87" s="544"/>
      <c r="C87" s="583">
        <v>100</v>
      </c>
      <c r="D87" s="545">
        <f t="shared" ref="D87:M87" si="20">$C$87-($C$86-D86)*$K$25</f>
        <v>102</v>
      </c>
      <c r="E87" s="545">
        <f t="shared" si="20"/>
        <v>104</v>
      </c>
      <c r="F87" s="545">
        <f t="shared" si="20"/>
        <v>106</v>
      </c>
      <c r="G87" s="545">
        <f t="shared" si="20"/>
        <v>108</v>
      </c>
      <c r="H87" s="545">
        <f t="shared" si="20"/>
        <v>110</v>
      </c>
      <c r="I87" s="545">
        <f t="shared" si="20"/>
        <v>112</v>
      </c>
      <c r="J87" s="545">
        <f t="shared" si="20"/>
        <v>114</v>
      </c>
      <c r="K87" s="545">
        <f t="shared" si="20"/>
        <v>116</v>
      </c>
      <c r="L87" s="545">
        <f t="shared" si="20"/>
        <v>118</v>
      </c>
      <c r="M87" s="545">
        <f t="shared" si="20"/>
        <v>120</v>
      </c>
      <c r="N87" s="1155"/>
      <c r="O87" s="1155"/>
      <c r="P87" s="2633"/>
      <c r="Q87" s="505"/>
    </row>
    <row r="88" spans="1:17" s="117" customFormat="1" ht="15.75" thickTop="1">
      <c r="A88" s="580"/>
      <c r="B88" s="539" t="s">
        <v>2608</v>
      </c>
      <c r="C88" s="2938" t="s">
        <v>3097</v>
      </c>
      <c r="D88" s="2938" t="s">
        <v>3098</v>
      </c>
      <c r="E88" s="2938" t="s">
        <v>3100</v>
      </c>
      <c r="F88" s="2939" t="s">
        <v>3101</v>
      </c>
      <c r="G88" s="2938" t="s">
        <v>3104</v>
      </c>
      <c r="H88" s="2938" t="s">
        <v>3102</v>
      </c>
      <c r="I88" s="2938" t="s">
        <v>3105</v>
      </c>
      <c r="J88" s="2938" t="s">
        <v>3106</v>
      </c>
      <c r="K88" s="2938" t="s">
        <v>3107</v>
      </c>
      <c r="L88" s="555"/>
      <c r="M88" s="582"/>
      <c r="N88" s="1153"/>
      <c r="O88" s="1153"/>
      <c r="P88" s="2633"/>
      <c r="Q88" s="505"/>
    </row>
    <row r="89" spans="1:17" s="117" customFormat="1" ht="15.75" thickBot="1">
      <c r="A89" s="580"/>
      <c r="B89" s="544"/>
      <c r="C89" s="583">
        <v>100</v>
      </c>
      <c r="D89" s="545">
        <f t="shared" ref="D89:M89" si="21">C89-$K26</f>
        <v>98</v>
      </c>
      <c r="E89" s="545">
        <f t="shared" si="21"/>
        <v>96</v>
      </c>
      <c r="F89" s="545">
        <f t="shared" si="21"/>
        <v>94</v>
      </c>
      <c r="G89" s="545">
        <f t="shared" si="21"/>
        <v>92</v>
      </c>
      <c r="H89" s="545">
        <f t="shared" si="21"/>
        <v>90</v>
      </c>
      <c r="I89" s="545">
        <f t="shared" si="21"/>
        <v>88</v>
      </c>
      <c r="J89" s="545">
        <f t="shared" si="21"/>
        <v>86</v>
      </c>
      <c r="K89" s="545">
        <f t="shared" si="21"/>
        <v>84</v>
      </c>
      <c r="L89" s="545">
        <f t="shared" si="21"/>
        <v>82</v>
      </c>
      <c r="M89" s="545">
        <f t="shared" si="21"/>
        <v>80</v>
      </c>
      <c r="N89" s="1155"/>
      <c r="O89" s="1155"/>
      <c r="P89" s="2633"/>
      <c r="Q89" s="505"/>
    </row>
    <row r="90" spans="1:17" s="472" customFormat="1" ht="15.75" thickTop="1">
      <c r="A90" s="554"/>
      <c r="B90" s="539" t="str">
        <f>B27</f>
        <v>楼层</v>
      </c>
      <c r="C90" s="2938" t="s">
        <v>3157</v>
      </c>
      <c r="D90" s="2938" t="s">
        <v>3159</v>
      </c>
      <c r="E90" s="2938" t="s">
        <v>3161</v>
      </c>
      <c r="F90" s="555"/>
      <c r="G90" s="555"/>
      <c r="H90" s="556"/>
      <c r="I90" s="556"/>
      <c r="J90" s="556"/>
      <c r="K90" s="556"/>
      <c r="L90" s="557"/>
      <c r="M90" s="558"/>
      <c r="N90" s="1156"/>
      <c r="O90" s="1156"/>
      <c r="P90" s="2634"/>
      <c r="Q90" s="560"/>
    </row>
    <row r="91" spans="1:17" s="472" customFormat="1" ht="15.75" thickBot="1">
      <c r="A91" s="554"/>
      <c r="B91" s="544"/>
      <c r="C91" s="561">
        <v>100</v>
      </c>
      <c r="D91" s="561">
        <v>97</v>
      </c>
      <c r="E91" s="561">
        <v>94</v>
      </c>
      <c r="F91" s="561"/>
      <c r="G91" s="561"/>
      <c r="H91" s="563"/>
      <c r="I91" s="563"/>
      <c r="J91" s="563"/>
      <c r="K91" s="563"/>
      <c r="L91" s="563"/>
      <c r="M91" s="564"/>
      <c r="N91" s="1156"/>
      <c r="O91" s="1156"/>
      <c r="P91" s="2634"/>
      <c r="Q91" s="560"/>
    </row>
    <row r="92" spans="1:17" ht="15.75" thickTop="1">
      <c r="A92" s="535"/>
      <c r="B92" s="539">
        <f>B28</f>
        <v>111</v>
      </c>
      <c r="C92" s="555"/>
      <c r="D92" s="555"/>
      <c r="E92" s="555"/>
      <c r="F92" s="555"/>
      <c r="G92" s="584"/>
      <c r="H92" s="584"/>
      <c r="I92" s="584"/>
      <c r="J92" s="584"/>
      <c r="K92" s="585"/>
      <c r="L92" s="586"/>
      <c r="M92" s="587"/>
      <c r="N92" s="1154"/>
      <c r="O92" s="1154"/>
      <c r="P92" s="2633"/>
      <c r="Q92" s="505"/>
    </row>
    <row r="93" spans="1:17" ht="15.75" thickBot="1">
      <c r="A93" s="535"/>
      <c r="B93" s="544"/>
      <c r="C93" s="561"/>
      <c r="D93" s="537"/>
      <c r="E93" s="537"/>
      <c r="F93" s="537"/>
      <c r="G93" s="537"/>
      <c r="H93" s="537"/>
      <c r="I93" s="537"/>
      <c r="J93" s="537"/>
      <c r="K93" s="537"/>
      <c r="L93" s="537"/>
      <c r="M93" s="538"/>
      <c r="N93" s="1155"/>
      <c r="O93" s="1155"/>
      <c r="P93" s="2633"/>
      <c r="Q93" s="505"/>
    </row>
    <row r="94" spans="1:17" ht="15.75" thickTop="1">
      <c r="A94" s="535"/>
      <c r="B94" s="539">
        <f>B29</f>
        <v>111</v>
      </c>
      <c r="C94" s="555"/>
      <c r="D94" s="555"/>
      <c r="E94" s="555"/>
      <c r="F94" s="555"/>
      <c r="G94" s="584"/>
      <c r="H94" s="584"/>
      <c r="I94" s="584"/>
      <c r="J94" s="584"/>
      <c r="K94" s="585"/>
      <c r="L94" s="586"/>
      <c r="M94" s="587"/>
      <c r="N94" s="1154"/>
      <c r="O94" s="1154"/>
      <c r="P94" s="2633"/>
      <c r="Q94" s="505"/>
    </row>
    <row r="95" spans="1:17" ht="15.75" thickBot="1">
      <c r="A95" s="535"/>
      <c r="B95" s="544"/>
      <c r="C95" s="561"/>
      <c r="D95" s="561"/>
      <c r="E95" s="561"/>
      <c r="F95" s="561"/>
      <c r="G95" s="537"/>
      <c r="H95" s="537"/>
      <c r="I95" s="537"/>
      <c r="J95" s="537"/>
      <c r="K95" s="537"/>
      <c r="L95" s="537"/>
      <c r="M95" s="538"/>
      <c r="N95" s="1155"/>
      <c r="O95" s="1155"/>
      <c r="P95" s="2633"/>
      <c r="Q95" s="505"/>
    </row>
    <row r="96" spans="1:17" ht="15.75" thickTop="1">
      <c r="A96" s="535"/>
      <c r="B96" s="539">
        <f>B30</f>
        <v>111</v>
      </c>
      <c r="C96" s="555"/>
      <c r="D96" s="555"/>
      <c r="E96" s="555"/>
      <c r="F96" s="555"/>
      <c r="G96" s="584"/>
      <c r="H96" s="584"/>
      <c r="I96" s="584"/>
      <c r="J96" s="584"/>
      <c r="K96" s="585"/>
      <c r="L96" s="586"/>
      <c r="M96" s="587"/>
      <c r="N96" s="1154"/>
      <c r="O96" s="1154"/>
      <c r="P96" s="2633"/>
      <c r="Q96" s="505"/>
    </row>
    <row r="97" spans="1:17" ht="15.75" thickBot="1">
      <c r="A97" s="535"/>
      <c r="B97" s="544"/>
      <c r="C97" s="571"/>
      <c r="D97" s="571"/>
      <c r="E97" s="571"/>
      <c r="F97" s="571"/>
      <c r="G97" s="537"/>
      <c r="H97" s="537"/>
      <c r="I97" s="537"/>
      <c r="J97" s="537"/>
      <c r="K97" s="537"/>
      <c r="L97" s="537"/>
      <c r="M97" s="538"/>
      <c r="N97" s="1155"/>
      <c r="O97" s="1155"/>
      <c r="P97" s="2633"/>
      <c r="Q97" s="505"/>
    </row>
    <row r="98" spans="1:17" ht="15.75" thickTop="1">
      <c r="A98" s="535"/>
      <c r="B98" s="547">
        <f>B31</f>
        <v>111</v>
      </c>
      <c r="C98" s="588"/>
      <c r="D98" s="588"/>
      <c r="E98" s="588"/>
      <c r="F98" s="588"/>
      <c r="G98" s="588"/>
      <c r="H98" s="588"/>
      <c r="I98" s="588"/>
      <c r="J98" s="588"/>
      <c r="K98" s="589"/>
      <c r="L98" s="590"/>
      <c r="M98" s="591"/>
      <c r="N98" s="1154"/>
      <c r="O98" s="1154"/>
      <c r="P98" s="2633"/>
      <c r="Q98" s="505"/>
    </row>
    <row r="99" spans="1:17" ht="15.75" thickBot="1">
      <c r="A99" s="2639"/>
      <c r="B99" s="570"/>
      <c r="C99" s="592"/>
      <c r="D99" s="592"/>
      <c r="E99" s="592"/>
      <c r="F99" s="592"/>
      <c r="G99" s="592"/>
      <c r="H99" s="592"/>
      <c r="I99" s="592"/>
      <c r="J99" s="592"/>
      <c r="K99" s="592"/>
      <c r="L99" s="592"/>
      <c r="M99" s="593"/>
      <c r="N99" s="1155"/>
      <c r="O99" s="1155"/>
      <c r="P99" s="2633"/>
      <c r="Q99" s="505"/>
    </row>
    <row r="100" spans="1:17">
      <c r="A100" s="528" t="s">
        <v>2561</v>
      </c>
      <c r="B100" s="529" t="s">
        <v>2609</v>
      </c>
      <c r="C100" s="2940" t="s">
        <v>3108</v>
      </c>
      <c r="D100" s="2940" t="s">
        <v>3109</v>
      </c>
      <c r="E100" s="2940" t="s">
        <v>3111</v>
      </c>
      <c r="F100" s="531"/>
      <c r="G100" s="531"/>
      <c r="H100" s="531"/>
      <c r="I100" s="531"/>
      <c r="J100" s="531"/>
      <c r="K100" s="532"/>
      <c r="L100" s="533"/>
      <c r="M100" s="534"/>
      <c r="N100" s="1154"/>
      <c r="O100" s="1154"/>
      <c r="P100" s="2633"/>
      <c r="Q100" s="505"/>
    </row>
    <row r="101" spans="1:17" ht="15.75" thickBot="1">
      <c r="A101" s="535"/>
      <c r="B101" s="544"/>
      <c r="C101" s="545">
        <v>100</v>
      </c>
      <c r="D101" s="545">
        <f t="shared" ref="D101:M101" si="22">C101-$K32</f>
        <v>99</v>
      </c>
      <c r="E101" s="545">
        <f t="shared" si="22"/>
        <v>98</v>
      </c>
      <c r="F101" s="545">
        <f t="shared" si="22"/>
        <v>97</v>
      </c>
      <c r="G101" s="545">
        <f t="shared" si="22"/>
        <v>96</v>
      </c>
      <c r="H101" s="545">
        <f t="shared" si="22"/>
        <v>95</v>
      </c>
      <c r="I101" s="545">
        <f t="shared" si="22"/>
        <v>94</v>
      </c>
      <c r="J101" s="545">
        <f t="shared" si="22"/>
        <v>93</v>
      </c>
      <c r="K101" s="545">
        <f t="shared" si="22"/>
        <v>92</v>
      </c>
      <c r="L101" s="545">
        <f t="shared" si="22"/>
        <v>91</v>
      </c>
      <c r="M101" s="545">
        <f t="shared" si="22"/>
        <v>90</v>
      </c>
      <c r="N101" s="1155"/>
      <c r="O101" s="1155"/>
      <c r="P101" s="2633"/>
      <c r="Q101" s="505"/>
    </row>
    <row r="102" spans="1:17" ht="15.75" thickTop="1">
      <c r="A102" s="535"/>
      <c r="B102" s="539" t="s">
        <v>2610</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3"/>
      <c r="O102" s="1153"/>
      <c r="P102" s="2633"/>
      <c r="Q102" s="505"/>
    </row>
    <row r="103" spans="1:17" s="472" customFormat="1">
      <c r="A103" s="594"/>
      <c r="B103" s="595"/>
      <c r="C103" s="596">
        <v>0</v>
      </c>
      <c r="D103" s="596">
        <v>100</v>
      </c>
      <c r="E103" s="596">
        <v>200</v>
      </c>
      <c r="F103" s="596">
        <v>300</v>
      </c>
      <c r="G103" s="596"/>
      <c r="H103" s="596"/>
      <c r="I103" s="596"/>
      <c r="J103" s="597"/>
      <c r="K103" s="597"/>
      <c r="L103" s="598"/>
      <c r="M103" s="599"/>
      <c r="N103" s="1156"/>
      <c r="O103" s="1156"/>
      <c r="P103" s="2634"/>
      <c r="Q103" s="560"/>
    </row>
    <row r="104" spans="1:17" s="472" customFormat="1" ht="15.75" thickBot="1">
      <c r="A104" s="554"/>
      <c r="B104" s="544"/>
      <c r="C104" s="561">
        <v>100</v>
      </c>
      <c r="D104" s="537">
        <v>98</v>
      </c>
      <c r="E104" s="537">
        <v>96</v>
      </c>
      <c r="F104" s="537">
        <v>94</v>
      </c>
      <c r="G104" s="537"/>
      <c r="H104" s="537"/>
      <c r="I104" s="537"/>
      <c r="J104" s="537"/>
      <c r="K104" s="537"/>
      <c r="L104" s="537"/>
      <c r="M104" s="537"/>
      <c r="N104" s="1155"/>
      <c r="O104" s="1155"/>
      <c r="P104" s="2634"/>
      <c r="Q104" s="560"/>
    </row>
    <row r="105" spans="1:17" ht="15" thickTop="1">
      <c r="A105" s="600"/>
      <c r="B105" s="539" t="s">
        <v>2611</v>
      </c>
      <c r="C105" s="2938" t="s">
        <v>3113</v>
      </c>
      <c r="D105" s="555"/>
      <c r="E105" s="584"/>
      <c r="F105" s="584"/>
      <c r="G105" s="584"/>
      <c r="H105" s="584"/>
      <c r="I105" s="584"/>
      <c r="J105" s="584"/>
      <c r="K105" s="585"/>
      <c r="L105" s="586"/>
      <c r="M105" s="587"/>
      <c r="N105" s="1154"/>
      <c r="O105" s="1154"/>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5">
        <f t="shared" si="24"/>
        <v>80</v>
      </c>
      <c r="N106" s="1155"/>
      <c r="O106" s="1155"/>
      <c r="P106" s="2633"/>
      <c r="Q106" s="505"/>
    </row>
    <row r="107" spans="1:17" ht="15" thickTop="1">
      <c r="A107" s="600"/>
      <c r="B107" s="539" t="s">
        <v>2612</v>
      </c>
      <c r="C107" s="2941" t="s">
        <v>3115</v>
      </c>
      <c r="D107" s="2941" t="s">
        <v>3117</v>
      </c>
      <c r="E107" s="584"/>
      <c r="F107" s="584"/>
      <c r="G107" s="584"/>
      <c r="H107" s="584"/>
      <c r="I107" s="584"/>
      <c r="J107" s="584"/>
      <c r="K107" s="585"/>
      <c r="L107" s="586"/>
      <c r="M107" s="587"/>
      <c r="N107" s="1154"/>
      <c r="O107" s="1154"/>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5">
        <f t="shared" si="25"/>
        <v>80</v>
      </c>
      <c r="N108" s="1155"/>
      <c r="O108" s="1155"/>
      <c r="P108" s="2633"/>
      <c r="Q108" s="505"/>
    </row>
    <row r="109" spans="1:17" ht="15" thickTop="1">
      <c r="A109" s="600"/>
      <c r="B109" s="539" t="s">
        <v>2613</v>
      </c>
      <c r="C109" s="2938" t="s">
        <v>3119</v>
      </c>
      <c r="D109" s="2938" t="s">
        <v>3121</v>
      </c>
      <c r="E109" s="2938" t="s">
        <v>3122</v>
      </c>
      <c r="F109" s="2941" t="s">
        <v>3123</v>
      </c>
      <c r="G109" s="584"/>
      <c r="H109" s="584"/>
      <c r="I109" s="584"/>
      <c r="J109" s="584"/>
      <c r="K109" s="585"/>
      <c r="L109" s="586"/>
      <c r="M109" s="587"/>
      <c r="N109" s="1154"/>
      <c r="O109" s="1154"/>
      <c r="P109" s="2633"/>
      <c r="Q109" s="505"/>
    </row>
    <row r="110" spans="1:17" ht="15.75" thickBot="1">
      <c r="A110" s="535"/>
      <c r="B110" s="544"/>
      <c r="C110" s="545">
        <v>100</v>
      </c>
      <c r="D110" s="545">
        <f t="shared" ref="D110:M110" si="26">C110-$K36</f>
        <v>98</v>
      </c>
      <c r="E110" s="545">
        <f t="shared" si="26"/>
        <v>96</v>
      </c>
      <c r="F110" s="545">
        <f t="shared" si="26"/>
        <v>94</v>
      </c>
      <c r="G110" s="545">
        <f t="shared" si="26"/>
        <v>92</v>
      </c>
      <c r="H110" s="545">
        <f t="shared" si="26"/>
        <v>90</v>
      </c>
      <c r="I110" s="545">
        <f t="shared" si="26"/>
        <v>88</v>
      </c>
      <c r="J110" s="545">
        <f t="shared" si="26"/>
        <v>86</v>
      </c>
      <c r="K110" s="545">
        <f t="shared" si="26"/>
        <v>84</v>
      </c>
      <c r="L110" s="545">
        <f t="shared" si="26"/>
        <v>82</v>
      </c>
      <c r="M110" s="545">
        <f t="shared" si="26"/>
        <v>80</v>
      </c>
      <c r="N110" s="1155"/>
      <c r="O110" s="1155"/>
      <c r="P110" s="2633"/>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6"/>
      <c r="O111" s="1156"/>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6"/>
      <c r="O112" s="1156"/>
      <c r="P112" s="2634"/>
      <c r="Q112" s="560"/>
    </row>
    <row r="113" spans="1:17" s="472" customFormat="1" ht="15.75" thickBot="1">
      <c r="A113" s="554"/>
      <c r="B113" s="544"/>
      <c r="C113" s="583">
        <v>100</v>
      </c>
      <c r="D113" s="545">
        <f>C113+$K37</f>
        <v>101</v>
      </c>
      <c r="E113" s="545">
        <f>D113+$K37</f>
        <v>102</v>
      </c>
      <c r="F113" s="545">
        <f>E113+$K37</f>
        <v>103</v>
      </c>
      <c r="G113" s="545">
        <f>F113+$K37</f>
        <v>104</v>
      </c>
      <c r="H113" s="545">
        <f>G113+$K37</f>
        <v>105</v>
      </c>
      <c r="I113" s="583"/>
      <c r="J113" s="608"/>
      <c r="K113" s="608"/>
      <c r="L113" s="608"/>
      <c r="M113" s="609"/>
      <c r="N113" s="1156"/>
      <c r="O113" s="1156"/>
      <c r="P113" s="2634"/>
      <c r="Q113" s="560"/>
    </row>
    <row r="114" spans="1:17" ht="15" thickTop="1">
      <c r="A114" s="600"/>
      <c r="B114" s="539" t="s">
        <v>2614</v>
      </c>
      <c r="C114" s="2938" t="s">
        <v>3125</v>
      </c>
      <c r="D114" s="2938" t="s">
        <v>3117</v>
      </c>
      <c r="E114" s="584"/>
      <c r="F114" s="584"/>
      <c r="G114" s="584"/>
      <c r="H114" s="584"/>
      <c r="I114" s="584"/>
      <c r="J114" s="584"/>
      <c r="K114" s="585"/>
      <c r="L114" s="586"/>
      <c r="M114" s="587"/>
      <c r="N114" s="1154"/>
      <c r="O114" s="1154"/>
      <c r="P114" s="2633"/>
      <c r="Q114" s="505"/>
    </row>
    <row r="115" spans="1:17" ht="15.75" thickBot="1">
      <c r="A115" s="535"/>
      <c r="B115" s="544"/>
      <c r="C115" s="545">
        <v>100</v>
      </c>
      <c r="D115" s="545">
        <f t="shared" ref="D115:M115" si="27">C115-$K38</f>
        <v>99</v>
      </c>
      <c r="E115" s="545">
        <f t="shared" si="27"/>
        <v>98</v>
      </c>
      <c r="F115" s="545">
        <f t="shared" si="27"/>
        <v>97</v>
      </c>
      <c r="G115" s="545">
        <f t="shared" si="27"/>
        <v>96</v>
      </c>
      <c r="H115" s="545">
        <f t="shared" si="27"/>
        <v>95</v>
      </c>
      <c r="I115" s="545">
        <f t="shared" si="27"/>
        <v>94</v>
      </c>
      <c r="J115" s="545">
        <f t="shared" si="27"/>
        <v>93</v>
      </c>
      <c r="K115" s="545">
        <f t="shared" si="27"/>
        <v>92</v>
      </c>
      <c r="L115" s="545">
        <f t="shared" si="27"/>
        <v>91</v>
      </c>
      <c r="M115" s="545">
        <f t="shared" si="27"/>
        <v>90</v>
      </c>
      <c r="N115" s="1155"/>
      <c r="O115" s="1155"/>
      <c r="P115" s="2633"/>
      <c r="Q115" s="505"/>
    </row>
    <row r="116" spans="1:17" ht="15" thickTop="1">
      <c r="A116" s="600"/>
      <c r="B116" s="539" t="s">
        <v>2615</v>
      </c>
      <c r="C116" s="2938" t="s">
        <v>3127</v>
      </c>
      <c r="D116" s="555"/>
      <c r="E116" s="555"/>
      <c r="F116" s="555"/>
      <c r="G116" s="555"/>
      <c r="H116" s="584"/>
      <c r="I116" s="584"/>
      <c r="J116" s="584"/>
      <c r="K116" s="585"/>
      <c r="L116" s="586"/>
      <c r="M116" s="587"/>
      <c r="N116" s="1154"/>
      <c r="O116" s="1154"/>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5"/>
      <c r="O117" s="1155"/>
      <c r="P117" s="2633"/>
      <c r="Q117" s="505"/>
    </row>
    <row r="118" spans="1:17" ht="15" thickTop="1">
      <c r="A118" s="600"/>
      <c r="B118" s="539" t="s">
        <v>2616</v>
      </c>
      <c r="C118" s="584"/>
      <c r="D118" s="584"/>
      <c r="E118" s="584"/>
      <c r="F118" s="584"/>
      <c r="G118" s="584"/>
      <c r="H118" s="584"/>
      <c r="I118" s="584"/>
      <c r="J118" s="584"/>
      <c r="K118" s="585"/>
      <c r="L118" s="586"/>
      <c r="M118" s="587"/>
      <c r="N118" s="1154"/>
      <c r="O118" s="1154"/>
      <c r="P118" s="2633"/>
      <c r="Q118" s="505"/>
    </row>
    <row r="119" spans="1:17" ht="15.75" thickBot="1">
      <c r="A119" s="535"/>
      <c r="B119" s="544"/>
      <c r="C119" s="545">
        <v>100</v>
      </c>
      <c r="D119" s="545">
        <f t="shared" ref="D119:M119" si="28">C119-$K40</f>
        <v>98</v>
      </c>
      <c r="E119" s="545">
        <f t="shared" si="28"/>
        <v>96</v>
      </c>
      <c r="F119" s="545">
        <f t="shared" si="28"/>
        <v>94</v>
      </c>
      <c r="G119" s="545">
        <f t="shared" si="28"/>
        <v>92</v>
      </c>
      <c r="H119" s="545">
        <f t="shared" si="28"/>
        <v>90</v>
      </c>
      <c r="I119" s="545">
        <f t="shared" si="28"/>
        <v>88</v>
      </c>
      <c r="J119" s="545">
        <f t="shared" si="28"/>
        <v>86</v>
      </c>
      <c r="K119" s="545">
        <f t="shared" si="28"/>
        <v>84</v>
      </c>
      <c r="L119" s="545">
        <f t="shared" si="28"/>
        <v>82</v>
      </c>
      <c r="M119" s="545">
        <f t="shared" si="28"/>
        <v>80</v>
      </c>
      <c r="N119" s="1155"/>
      <c r="O119" s="1155"/>
      <c r="P119" s="2633"/>
      <c r="Q119" s="505"/>
    </row>
    <row r="120" spans="1:17" s="472" customFormat="1" ht="28.5" thickTop="1">
      <c r="A120" s="594"/>
      <c r="B120" s="539" t="s">
        <v>2572</v>
      </c>
      <c r="C120" s="555"/>
      <c r="D120" s="555"/>
      <c r="E120" s="555"/>
      <c r="F120" s="555"/>
      <c r="G120" s="555"/>
      <c r="H120" s="555"/>
      <c r="I120" s="555"/>
      <c r="J120" s="555"/>
      <c r="K120" s="555"/>
      <c r="L120" s="581"/>
      <c r="M120" s="582"/>
      <c r="N120" s="1156"/>
      <c r="O120" s="1156"/>
      <c r="P120" s="2634"/>
      <c r="Q120" s="560"/>
    </row>
    <row r="121" spans="1:17" s="472" customFormat="1" ht="15.75" thickBot="1">
      <c r="A121" s="554"/>
      <c r="B121" s="536"/>
      <c r="C121" s="561"/>
      <c r="D121" s="537"/>
      <c r="E121" s="537"/>
      <c r="F121" s="537"/>
      <c r="G121" s="537"/>
      <c r="H121" s="537"/>
      <c r="I121" s="537"/>
      <c r="J121" s="537"/>
      <c r="K121" s="537"/>
      <c r="L121" s="537"/>
      <c r="M121" s="537"/>
      <c r="N121" s="1156"/>
      <c r="O121" s="1156"/>
      <c r="P121" s="2634"/>
      <c r="Q121" s="560"/>
    </row>
    <row r="122" spans="1:17" ht="15" thickTop="1">
      <c r="A122" s="600"/>
      <c r="B122" s="539" t="s">
        <v>2617</v>
      </c>
      <c r="C122" s="2938" t="s">
        <v>3119</v>
      </c>
      <c r="D122" s="2938" t="s">
        <v>3121</v>
      </c>
      <c r="E122" s="2938" t="s">
        <v>3122</v>
      </c>
      <c r="F122" s="2941" t="s">
        <v>3123</v>
      </c>
      <c r="G122" s="584"/>
      <c r="H122" s="584"/>
      <c r="I122" s="584"/>
      <c r="J122" s="584"/>
      <c r="K122" s="585"/>
      <c r="L122" s="586"/>
      <c r="M122" s="587"/>
      <c r="N122" s="1154"/>
      <c r="O122" s="1154"/>
      <c r="P122" s="2633"/>
      <c r="Q122" s="505"/>
    </row>
    <row r="123" spans="1:17" ht="15.75" thickBot="1">
      <c r="A123" s="535"/>
      <c r="B123" s="544"/>
      <c r="C123" s="545">
        <v>100</v>
      </c>
      <c r="D123" s="545">
        <f t="shared" ref="D123:M123" si="29">C123-$K42</f>
        <v>98</v>
      </c>
      <c r="E123" s="545">
        <f t="shared" si="29"/>
        <v>96</v>
      </c>
      <c r="F123" s="545">
        <f t="shared" si="29"/>
        <v>94</v>
      </c>
      <c r="G123" s="545">
        <f t="shared" si="29"/>
        <v>92</v>
      </c>
      <c r="H123" s="545">
        <f t="shared" si="29"/>
        <v>90</v>
      </c>
      <c r="I123" s="545">
        <f t="shared" si="29"/>
        <v>88</v>
      </c>
      <c r="J123" s="545">
        <f t="shared" si="29"/>
        <v>86</v>
      </c>
      <c r="K123" s="545">
        <f t="shared" si="29"/>
        <v>84</v>
      </c>
      <c r="L123" s="545">
        <f t="shared" si="29"/>
        <v>82</v>
      </c>
      <c r="M123" s="545">
        <f t="shared" si="29"/>
        <v>80</v>
      </c>
      <c r="N123" s="1155"/>
      <c r="O123" s="1155"/>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4"/>
      <c r="O124" s="1154"/>
      <c r="P124" s="2634"/>
      <c r="Q124" s="505"/>
    </row>
    <row r="125" spans="1:17" ht="15.75" thickBot="1">
      <c r="A125" s="535"/>
      <c r="B125" s="544"/>
      <c r="C125" s="545">
        <v>100</v>
      </c>
      <c r="D125" s="545">
        <f>C125-$K43</f>
        <v>99</v>
      </c>
      <c r="E125" s="545">
        <f>D125-$K43</f>
        <v>98</v>
      </c>
      <c r="F125" s="545">
        <f>E125-$K43</f>
        <v>97</v>
      </c>
      <c r="G125" s="545">
        <f>F125-$K43</f>
        <v>96</v>
      </c>
      <c r="H125" s="545"/>
      <c r="I125" s="545"/>
      <c r="J125" s="545"/>
      <c r="K125" s="545"/>
      <c r="L125" s="545"/>
      <c r="M125" s="546"/>
      <c r="N125" s="1155"/>
      <c r="O125" s="1155"/>
      <c r="P125" s="2633"/>
      <c r="Q125" s="505"/>
    </row>
    <row r="126" spans="1:17" s="472" customFormat="1" ht="15" thickTop="1">
      <c r="A126" s="594"/>
      <c r="B126" s="539">
        <f>B44</f>
        <v>111</v>
      </c>
      <c r="C126" s="555"/>
      <c r="D126" s="555"/>
      <c r="E126" s="555"/>
      <c r="F126" s="555"/>
      <c r="G126" s="555"/>
      <c r="H126" s="556"/>
      <c r="I126" s="556"/>
      <c r="J126" s="556"/>
      <c r="K126" s="556"/>
      <c r="L126" s="557"/>
      <c r="M126" s="558"/>
      <c r="N126" s="1156"/>
      <c r="O126" s="1156"/>
      <c r="P126" s="2634"/>
      <c r="Q126" s="560"/>
    </row>
    <row r="127" spans="1:17" s="472" customFormat="1" ht="15.75" thickBot="1">
      <c r="A127" s="554"/>
      <c r="B127" s="544"/>
      <c r="C127" s="561"/>
      <c r="D127" s="537"/>
      <c r="E127" s="537"/>
      <c r="F127" s="537"/>
      <c r="G127" s="561"/>
      <c r="H127" s="563"/>
      <c r="I127" s="563"/>
      <c r="J127" s="563"/>
      <c r="K127" s="563"/>
      <c r="L127" s="563"/>
      <c r="M127" s="564"/>
      <c r="N127" s="1156"/>
      <c r="O127" s="1156"/>
      <c r="P127" s="2634"/>
      <c r="Q127" s="560"/>
    </row>
    <row r="128" spans="1:17" ht="15" thickTop="1">
      <c r="A128" s="600"/>
      <c r="B128" s="539">
        <f>B45</f>
        <v>111</v>
      </c>
      <c r="C128" s="555"/>
      <c r="D128" s="555"/>
      <c r="E128" s="555"/>
      <c r="F128" s="555"/>
      <c r="G128" s="584"/>
      <c r="H128" s="584"/>
      <c r="I128" s="584"/>
      <c r="J128" s="584"/>
      <c r="K128" s="585"/>
      <c r="L128" s="586"/>
      <c r="M128" s="587"/>
      <c r="N128" s="1154"/>
      <c r="O128" s="1154"/>
      <c r="P128" s="2633"/>
      <c r="Q128" s="505"/>
    </row>
    <row r="129" spans="1:17" ht="15.75" thickBot="1">
      <c r="A129" s="535"/>
      <c r="B129" s="544"/>
      <c r="C129" s="561"/>
      <c r="D129" s="561"/>
      <c r="E129" s="561"/>
      <c r="F129" s="561"/>
      <c r="G129" s="537"/>
      <c r="H129" s="537"/>
      <c r="I129" s="537"/>
      <c r="J129" s="537"/>
      <c r="K129" s="537"/>
      <c r="L129" s="537"/>
      <c r="M129" s="538"/>
      <c r="N129" s="1155"/>
      <c r="O129" s="1155"/>
      <c r="P129" s="2633"/>
      <c r="Q129" s="505"/>
    </row>
    <row r="130" spans="1:17" ht="15" thickTop="1">
      <c r="A130" s="600"/>
      <c r="B130" s="547">
        <f>B46</f>
        <v>111</v>
      </c>
      <c r="C130" s="555"/>
      <c r="D130" s="555"/>
      <c r="E130" s="555"/>
      <c r="F130" s="555"/>
      <c r="G130" s="588"/>
      <c r="H130" s="588"/>
      <c r="I130" s="588"/>
      <c r="J130" s="588"/>
      <c r="K130" s="524"/>
      <c r="L130" s="525"/>
      <c r="M130" s="591"/>
      <c r="N130" s="1154"/>
      <c r="O130" s="1154"/>
      <c r="P130" s="2633"/>
      <c r="Q130" s="505"/>
    </row>
    <row r="131" spans="1:17" ht="15.75" thickBot="1">
      <c r="A131" s="2639"/>
      <c r="B131" s="570"/>
      <c r="C131" s="571"/>
      <c r="D131" s="571"/>
      <c r="E131" s="571"/>
      <c r="F131" s="571"/>
      <c r="G131" s="592"/>
      <c r="H131" s="592"/>
      <c r="I131" s="592"/>
      <c r="J131" s="592"/>
      <c r="K131" s="592"/>
      <c r="L131" s="592"/>
      <c r="M131" s="593"/>
      <c r="N131" s="1155"/>
      <c r="O131" s="1155"/>
      <c r="P131" s="2633"/>
      <c r="Q131" s="505"/>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6">
        <v>6</v>
      </c>
      <c r="C139" s="1087">
        <v>96</v>
      </c>
      <c r="D139" s="2651" t="s">
        <v>2628</v>
      </c>
      <c r="E139" s="1088">
        <v>100</v>
      </c>
      <c r="F139" s="1089">
        <v>102.5</v>
      </c>
      <c r="G139" s="2651" t="s">
        <v>2628</v>
      </c>
      <c r="H139" s="1090">
        <v>105</v>
      </c>
      <c r="I139" s="2652" t="s">
        <v>2629</v>
      </c>
      <c r="J139" s="1087">
        <v>20</v>
      </c>
      <c r="K139" s="1091">
        <f>C145/(J139-2)</f>
        <v>4.0555555555555553E-3</v>
      </c>
    </row>
    <row r="140" spans="1:17" ht="15">
      <c r="B140" s="1092">
        <v>5</v>
      </c>
      <c r="C140" s="1093">
        <v>100</v>
      </c>
      <c r="D140" s="1093"/>
      <c r="E140" s="1094"/>
      <c r="F140" s="1095">
        <v>102</v>
      </c>
      <c r="G140" s="1093"/>
      <c r="H140" s="1096"/>
      <c r="I140" s="2653" t="s">
        <v>2630</v>
      </c>
      <c r="J140" s="316">
        <f>ROUNDUP((J139-1)/2,0)</f>
        <v>10</v>
      </c>
      <c r="K140" s="1097">
        <v>100</v>
      </c>
    </row>
    <row r="141" spans="1:17" ht="15">
      <c r="B141" s="1092">
        <v>4</v>
      </c>
      <c r="C141" s="1093">
        <v>102</v>
      </c>
      <c r="D141" s="1093"/>
      <c r="E141" s="1094"/>
      <c r="F141" s="1095">
        <v>101.5</v>
      </c>
      <c r="G141" s="1093"/>
      <c r="H141" s="1096"/>
      <c r="I141" s="2653" t="s">
        <v>2631</v>
      </c>
      <c r="J141" s="316">
        <v>1</v>
      </c>
      <c r="K141" s="1098">
        <f>ROUND(100+(J141-J140)*K139*100,1)</f>
        <v>96.4</v>
      </c>
    </row>
    <row r="142" spans="1:17" ht="15">
      <c r="B142" s="1092">
        <v>3</v>
      </c>
      <c r="C142" s="1093">
        <v>103</v>
      </c>
      <c r="D142" s="1093"/>
      <c r="E142" s="1094"/>
      <c r="F142" s="1095">
        <v>101</v>
      </c>
      <c r="G142" s="1093"/>
      <c r="H142" s="1096"/>
      <c r="I142" s="2653" t="s">
        <v>2632</v>
      </c>
      <c r="J142" s="316">
        <f>J139</f>
        <v>20</v>
      </c>
      <c r="K142" s="1099">
        <v>95</v>
      </c>
    </row>
    <row r="143" spans="1:17" ht="15">
      <c r="B143" s="1092">
        <v>2</v>
      </c>
      <c r="C143" s="1093">
        <v>100</v>
      </c>
      <c r="D143" s="1093"/>
      <c r="E143" s="1094"/>
      <c r="F143" s="1095">
        <v>100.5</v>
      </c>
      <c r="G143" s="1093"/>
      <c r="H143" s="1096"/>
      <c r="I143" s="2653" t="s">
        <v>2633</v>
      </c>
      <c r="J143" s="1093">
        <v>15</v>
      </c>
      <c r="K143" s="1098">
        <f>ROUND(100+(J143-J140)*K139*100,1)</f>
        <v>102</v>
      </c>
    </row>
    <row r="144" spans="1:17" ht="15">
      <c r="B144" s="1092">
        <v>1</v>
      </c>
      <c r="C144" s="1093">
        <v>98</v>
      </c>
      <c r="D144" s="2654" t="s">
        <v>2634</v>
      </c>
      <c r="E144" s="1094">
        <v>102</v>
      </c>
      <c r="F144" s="1100">
        <v>100</v>
      </c>
      <c r="G144" s="2654" t="s">
        <v>2634</v>
      </c>
      <c r="H144" s="1096">
        <v>105</v>
      </c>
      <c r="I144" s="2653" t="s">
        <v>2633</v>
      </c>
      <c r="J144" s="1093">
        <v>18</v>
      </c>
      <c r="K144" s="1098">
        <f>ROUND(100+(J144-J140)*K139*100,1)</f>
        <v>103.2</v>
      </c>
    </row>
    <row r="145" spans="2:11" ht="15.75" thickBot="1">
      <c r="B145" s="2655" t="s">
        <v>2635</v>
      </c>
      <c r="C145" s="1101">
        <f>ROUND(MAX(C139:C144)/MIN(C139:C144)-1,3)</f>
        <v>7.2999999999999995E-2</v>
      </c>
      <c r="D145" s="1102"/>
      <c r="E145" s="1102"/>
      <c r="F145" s="2656" t="s">
        <v>2636</v>
      </c>
      <c r="G145" s="2657"/>
      <c r="H145" s="2658"/>
      <c r="I145" s="2659" t="s">
        <v>2633</v>
      </c>
      <c r="J145" s="1103">
        <v>8</v>
      </c>
      <c r="K145" s="1104">
        <f>ROUND(100+(J145-J140)*K139*100,1)</f>
        <v>99.2</v>
      </c>
    </row>
    <row r="147" spans="2:11">
      <c r="B147" s="2640" t="s">
        <v>2637</v>
      </c>
    </row>
    <row r="148" spans="2:11">
      <c r="B148" s="2640"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L48" sqref="L4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1"/>
      <c r="C1" s="1840" t="s">
        <v>3046</v>
      </c>
      <c r="D1" s="1823" t="s">
        <v>70</v>
      </c>
      <c r="E1" s="1824" t="s">
        <v>1388</v>
      </c>
      <c r="F1" s="1285">
        <f>J53</f>
        <v>54</v>
      </c>
      <c r="G1" s="1839">
        <f>MATCH(C1,'数据-取费表'!A6:A16,0)+5</f>
        <v>6</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1592</v>
      </c>
      <c r="B2" s="1847">
        <f ca="1">ROUND(D2/10000,0)</f>
        <v>493</v>
      </c>
      <c r="C2" s="1848" t="s">
        <v>1593</v>
      </c>
      <c r="D2" s="1941">
        <f ca="1">C40+J29+L46</f>
        <v>4928133</v>
      </c>
      <c r="E2" s="1849" t="s">
        <v>1594</v>
      </c>
      <c r="F2" s="1850"/>
      <c r="G2" s="1851"/>
      <c r="H2" s="1843"/>
      <c r="I2" s="1843"/>
      <c r="J2" s="1843"/>
      <c r="K2" s="1844"/>
      <c r="L2" s="1843"/>
      <c r="M2" s="1843"/>
    </row>
    <row r="3" spans="1:37" ht="18" customHeight="1" thickBot="1">
      <c r="A3" s="1852" t="s">
        <v>1595</v>
      </c>
      <c r="B3" s="1853">
        <f ca="1">IF(ISERROR(D2/F43),0,ROUND(D2/F43,0))</f>
        <v>55472</v>
      </c>
      <c r="C3" s="1848" t="s">
        <v>1596</v>
      </c>
      <c r="D3" s="1848"/>
      <c r="E3" s="1849"/>
      <c r="F3" s="1850"/>
      <c r="G3" s="1851"/>
      <c r="H3" s="743"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4">
        <f ca="1">C6+C10+C12</f>
        <v>199221</v>
      </c>
      <c r="D5" s="1825" t="s">
        <v>1603</v>
      </c>
      <c r="E5" s="1295"/>
      <c r="F5" s="1296"/>
      <c r="G5" s="1854"/>
      <c r="H5" s="345">
        <v>1</v>
      </c>
      <c r="I5" s="346" t="s">
        <v>1602</v>
      </c>
      <c r="J5" s="1294">
        <f ca="1">J6+J10+J12</f>
        <v>0</v>
      </c>
      <c r="K5" s="1825" t="s">
        <v>1603</v>
      </c>
      <c r="L5" s="1295"/>
      <c r="M5" s="1296"/>
    </row>
    <row r="6" spans="1:37" ht="18" customHeight="1">
      <c r="A6" s="1293" t="s">
        <v>1035</v>
      </c>
      <c r="B6" s="3193" t="s">
        <v>1404</v>
      </c>
      <c r="C6" s="1298">
        <f ca="1">ROUND(F6*F8*F7*(1-F9),0)</f>
        <v>198945</v>
      </c>
      <c r="D6" s="165" t="s">
        <v>3025</v>
      </c>
      <c r="E6" s="348" t="s">
        <v>1406</v>
      </c>
      <c r="F6" s="349">
        <f ca="1">INDIRECT("'数据-取费表'!u"&amp;$G$1)</f>
        <v>18420.8</v>
      </c>
      <c r="G6" s="1854"/>
      <c r="H6" s="1293" t="s">
        <v>1035</v>
      </c>
      <c r="I6" s="3193" t="s">
        <v>1404</v>
      </c>
      <c r="J6" s="347">
        <f ca="1">ROUND(M6*M8*M7*(1-M9),0)</f>
        <v>0</v>
      </c>
      <c r="K6" s="1837" t="s">
        <v>3028</v>
      </c>
      <c r="L6" s="348" t="s">
        <v>1406</v>
      </c>
      <c r="M6" s="349">
        <f ca="1">INDIRECT("'数据-取费表'!z"&amp;$G$1)</f>
        <v>0</v>
      </c>
    </row>
    <row r="7" spans="1:37" ht="18" customHeight="1">
      <c r="A7" s="1297"/>
      <c r="B7" s="3194"/>
      <c r="C7" s="1299"/>
      <c r="D7" s="353"/>
      <c r="E7" s="1300" t="s">
        <v>1407</v>
      </c>
      <c r="F7" s="349">
        <f ca="1">IF(INDIRECT("'数据-取费表'!ah"&amp;$G$1)="",INDIRECT("'数据-取费表'!k"&amp;$G$1),INDIRECT("'数据-取费表'!ah"&amp;$G$1))</f>
        <v>1</v>
      </c>
      <c r="G7" s="1854"/>
      <c r="H7" s="350"/>
      <c r="I7" s="3194"/>
      <c r="J7" s="352"/>
      <c r="K7" s="353"/>
      <c r="L7" s="348" t="s">
        <v>1407</v>
      </c>
      <c r="M7" s="349">
        <f ca="1">F7</f>
        <v>1</v>
      </c>
    </row>
    <row r="8" spans="1:37" ht="18" customHeight="1">
      <c r="A8" s="350"/>
      <c r="B8" s="3194"/>
      <c r="C8" s="352"/>
      <c r="D8" s="353"/>
      <c r="E8" s="348" t="s">
        <v>1408</v>
      </c>
      <c r="F8" s="349">
        <f ca="1">INDIRECT("'数据-取费表'!ai"&amp;$G$1)</f>
        <v>12</v>
      </c>
      <c r="G8" s="1854"/>
      <c r="H8" s="350"/>
      <c r="I8" s="3194"/>
      <c r="J8" s="352"/>
      <c r="K8" s="353"/>
      <c r="L8" s="348" t="s">
        <v>1408</v>
      </c>
      <c r="M8" s="349">
        <f ca="1">INDIRECT("'数据-取费表'!ai"&amp;$G$1)</f>
        <v>12</v>
      </c>
    </row>
    <row r="9" spans="1:37" ht="18" customHeight="1">
      <c r="A9" s="350"/>
      <c r="B9" s="3195"/>
      <c r="C9" s="352"/>
      <c r="D9" s="353"/>
      <c r="E9" s="348" t="s">
        <v>1409</v>
      </c>
      <c r="F9" s="358">
        <f ca="1">INDIRECT("'数据-取费表'!w"&amp;$G$1)</f>
        <v>0.1</v>
      </c>
      <c r="G9" s="1854"/>
      <c r="H9" s="350"/>
      <c r="I9" s="3195"/>
      <c r="J9" s="352"/>
      <c r="K9" s="353"/>
      <c r="L9" s="359" t="s">
        <v>1409</v>
      </c>
      <c r="M9" s="360">
        <f ca="1">INDIRECT("'数据-取费表'!ab"&amp;$G$1)</f>
        <v>0</v>
      </c>
    </row>
    <row r="10" spans="1:37" ht="18" customHeight="1">
      <c r="A10" s="1293" t="s">
        <v>1039</v>
      </c>
      <c r="B10" s="1826" t="s">
        <v>1410</v>
      </c>
      <c r="C10" s="362">
        <f ca="1">ROUND(IF(F10="押一",F6*F8*F7/12*F11,IF(F10="押二",F6*F8*F7/12*2*F11,IF(F10="押三",F6*F8*F7/12*3*F11,C11*F11))),0)</f>
        <v>276</v>
      </c>
      <c r="D10" s="1827" t="s">
        <v>3026</v>
      </c>
      <c r="E10" s="359" t="s">
        <v>1412</v>
      </c>
      <c r="F10" s="1368" t="s">
        <v>3141</v>
      </c>
      <c r="G10" s="1854"/>
      <c r="H10" s="1293" t="s">
        <v>1039</v>
      </c>
      <c r="I10" s="1826" t="s">
        <v>1410</v>
      </c>
      <c r="J10" s="347">
        <f ca="1">ROUND(IF(M10="押一",M6*M8*M7/12*M11,IF(M10="押二",M6*M8*M7/12*2*M11,IF(M10="押三",M6*M8*M7/12*3*M11,J11*M11))),0)</f>
        <v>0</v>
      </c>
      <c r="K10" s="1838" t="s">
        <v>3027</v>
      </c>
      <c r="L10" s="359" t="s">
        <v>1412</v>
      </c>
      <c r="M10" s="1368"/>
    </row>
    <row r="11" spans="1:37" ht="18" customHeight="1">
      <c r="A11" s="354"/>
      <c r="B11" s="1828" t="s">
        <v>1604</v>
      </c>
      <c r="C11" s="1180"/>
      <c r="D11" s="353"/>
      <c r="E11" s="359" t="s">
        <v>1414</v>
      </c>
      <c r="F11" s="360">
        <f ca="1">'数据-取费表'!B39</f>
        <v>1.4999999999999999E-2</v>
      </c>
      <c r="G11" s="1854"/>
      <c r="H11" s="1301"/>
      <c r="I11" s="1828" t="s">
        <v>1605</v>
      </c>
      <c r="J11" s="1180"/>
      <c r="K11" s="747"/>
      <c r="L11" s="359"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6">
        <f ca="1">ROUND(C29*F13,0)</f>
        <v>445118</v>
      </c>
      <c r="D13" s="1333" t="s">
        <v>1417</v>
      </c>
      <c r="E13" s="1333" t="s">
        <v>1418</v>
      </c>
      <c r="F13" s="1334">
        <f ca="1">INDIRECT("'数据-取费表'!y"&amp;$G$1)</f>
        <v>0.9</v>
      </c>
      <c r="G13" s="1854"/>
      <c r="H13" s="1331">
        <v>2</v>
      </c>
      <c r="I13" s="1332" t="s">
        <v>1416</v>
      </c>
      <c r="J13" s="1292">
        <f ca="1">ROUND(J14*J15,0)</f>
        <v>0</v>
      </c>
      <c r="K13" s="1339" t="s">
        <v>1417</v>
      </c>
      <c r="L13" s="1855"/>
      <c r="M13" s="1856"/>
    </row>
    <row r="14" spans="1:37" ht="18" customHeight="1">
      <c r="A14" s="1203" t="s">
        <v>1034</v>
      </c>
      <c r="B14" s="348" t="s">
        <v>1419</v>
      </c>
      <c r="C14" s="364">
        <f ca="1">ROUND(INDIRECT("'数据-取费表'!l"&amp;$G$1)*F43+'数据-取费表'!L14*INDIRECT("'数据-取费表'!S"&amp;$G$1),0)</f>
        <v>310940</v>
      </c>
      <c r="D14" s="1803" t="s">
        <v>1420</v>
      </c>
      <c r="E14" s="1797"/>
      <c r="F14" s="365"/>
      <c r="G14" s="1854"/>
      <c r="H14" s="1203" t="s">
        <v>1035</v>
      </c>
      <c r="I14" s="348" t="s">
        <v>1421</v>
      </c>
      <c r="J14" s="24">
        <f ca="1">C29</f>
        <v>494576</v>
      </c>
      <c r="K14" s="15"/>
      <c r="L14" s="981"/>
      <c r="M14" s="982"/>
    </row>
    <row r="15" spans="1:37" s="1861" customFormat="1" ht="18" customHeight="1" thickBot="1">
      <c r="A15" s="1203" t="s">
        <v>1036</v>
      </c>
      <c r="B15" s="348" t="s">
        <v>1422</v>
      </c>
      <c r="C15" s="24">
        <f ca="1">ROUND(C14*F15,0)</f>
        <v>9328</v>
      </c>
      <c r="D15" s="366" t="s">
        <v>1423</v>
      </c>
      <c r="E15" s="366" t="s">
        <v>1424</v>
      </c>
      <c r="F15" s="367">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8" t="s">
        <v>1425</v>
      </c>
      <c r="C16" s="24">
        <f ca="1">ROUND(INDIRECT("'数据-取费表'!l"&amp;$G$1)*F43*F16,0)</f>
        <v>15547</v>
      </c>
      <c r="D16" s="348" t="s">
        <v>1423</v>
      </c>
      <c r="E16" s="348" t="s">
        <v>1424</v>
      </c>
      <c r="F16" s="368">
        <f ca="1">IF(INDIRECT("'数据-取费表'!c"&amp;$G$1)="住宅",'数据-取费表'!B34,0)</f>
        <v>0.05</v>
      </c>
      <c r="G16" s="1854"/>
      <c r="H16" s="1331" t="s">
        <v>1030</v>
      </c>
      <c r="I16" s="1332" t="s">
        <v>1426</v>
      </c>
      <c r="J16" s="356">
        <f ca="1">ROUND(J17+J22+J23+J24,0)</f>
        <v>14046</v>
      </c>
      <c r="K16" s="1339" t="s">
        <v>1427</v>
      </c>
      <c r="L16" s="1340"/>
      <c r="M16" s="1296"/>
    </row>
    <row r="17" spans="1:37" s="1861" customFormat="1" ht="18" customHeight="1">
      <c r="A17" s="1203" t="s">
        <v>1391</v>
      </c>
      <c r="B17" s="348" t="s">
        <v>1428</v>
      </c>
      <c r="C17" s="24">
        <f ca="1">ROUND(F17*(F43+INDIRECT("'数据-取费表'!S"&amp;$G$1)),0)</f>
        <v>17768</v>
      </c>
      <c r="D17" s="348" t="s">
        <v>1429</v>
      </c>
      <c r="E17" s="348" t="s">
        <v>1430</v>
      </c>
      <c r="F17" s="26">
        <f>'数据-取费表'!B35</f>
        <v>200</v>
      </c>
      <c r="G17" s="1857"/>
      <c r="H17" s="1203" t="s">
        <v>1035</v>
      </c>
      <c r="I17" s="348" t="s">
        <v>1431</v>
      </c>
      <c r="J17" s="24">
        <f ca="1">ROUND(IF(项目基本情况!B11="自然人",J5*M17,J18+J19+J20),0)</f>
        <v>4154</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8" t="s">
        <v>1434</v>
      </c>
      <c r="C18" s="24">
        <f ca="1">ROUND(C14*F18,0)</f>
        <v>4664</v>
      </c>
      <c r="D18" s="348" t="s">
        <v>1423</v>
      </c>
      <c r="E18" s="348" t="s">
        <v>1424</v>
      </c>
      <c r="F18" s="368">
        <f>'数据-取费表'!B36</f>
        <v>1.4999999999999999E-2</v>
      </c>
      <c r="G18" s="1857"/>
      <c r="H18" s="1203"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8" t="s">
        <v>1437</v>
      </c>
      <c r="C19" s="24">
        <f ca="1">SUM(C14:C18)</f>
        <v>358247</v>
      </c>
      <c r="D19" s="140" t="s">
        <v>1438</v>
      </c>
      <c r="E19" s="1821"/>
      <c r="F19" s="26"/>
      <c r="G19" s="1854"/>
      <c r="H19" s="1203" t="s">
        <v>1036</v>
      </c>
      <c r="I19" s="348" t="s">
        <v>1439</v>
      </c>
      <c r="J19" s="24">
        <f ca="1">IF(K19="按租金收入计税",ROUND(J5*M19,0),ROUND(C29*M19*0.7,0))</f>
        <v>4154</v>
      </c>
      <c r="K19" s="1831" t="s">
        <v>1440</v>
      </c>
      <c r="L19" s="348" t="s">
        <v>1424</v>
      </c>
      <c r="M19" s="368">
        <f>IF(K19="按租金收入计税",'数据-取费表'!B51,'数据-取费表'!B50)</f>
        <v>1.2E-2</v>
      </c>
    </row>
    <row r="20" spans="1:37" s="1861" customFormat="1" ht="18" customHeight="1">
      <c r="A20" s="1203" t="s">
        <v>1039</v>
      </c>
      <c r="B20" s="348" t="s">
        <v>1441</v>
      </c>
      <c r="C20" s="24">
        <f ca="1">ROUND(C19*F20,0)</f>
        <v>7165</v>
      </c>
      <c r="D20" s="370" t="s">
        <v>1442</v>
      </c>
      <c r="E20" s="348" t="s">
        <v>1424</v>
      </c>
      <c r="F20" s="368">
        <f>'数据-取费表'!B37</f>
        <v>0.02</v>
      </c>
      <c r="G20" s="1857"/>
      <c r="H20" s="1203" t="s">
        <v>1390</v>
      </c>
      <c r="I20" s="165" t="s">
        <v>1443</v>
      </c>
      <c r="J20" s="25">
        <f ca="1">ROUND(M20*M21,0)</f>
        <v>0</v>
      </c>
      <c r="K20" s="371" t="s">
        <v>1444</v>
      </c>
      <c r="L20" s="348" t="s">
        <v>1445</v>
      </c>
      <c r="M20" s="372">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8" t="s">
        <v>1446</v>
      </c>
      <c r="C21" s="24" t="s">
        <v>1</v>
      </c>
      <c r="D21" s="370" t="s">
        <v>1447</v>
      </c>
      <c r="E21" s="348" t="s">
        <v>1448</v>
      </c>
      <c r="F21" s="368">
        <f>'数据-取费表'!B38</f>
        <v>0.02</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8" t="s">
        <v>1450</v>
      </c>
      <c r="C22" s="24"/>
      <c r="D22" s="140" t="str">
        <f>IF(F23&lt;=1,"单利计息。","复利计息。")&amp;"建造成本、管理费用、销售费用产生的利息。"</f>
        <v>复利计息。建造成本、管理费用、销售费用产生的利息。</v>
      </c>
      <c r="E22" s="1821"/>
      <c r="F22" s="26"/>
      <c r="G22" s="1854"/>
      <c r="H22" s="1203" t="s">
        <v>1039</v>
      </c>
      <c r="I22" s="348" t="s">
        <v>1451</v>
      </c>
      <c r="J22" s="24">
        <f ca="1">ROUND(J14*M22,0)</f>
        <v>9892</v>
      </c>
      <c r="K22" s="1801" t="s">
        <v>1452</v>
      </c>
      <c r="L22" s="348" t="s">
        <v>1424</v>
      </c>
      <c r="M22" s="375">
        <f ca="1">INDIRECT("'数据-取费表'!Ak"&amp;$G$1)</f>
        <v>0.02</v>
      </c>
    </row>
    <row r="23" spans="1:37" s="1861" customFormat="1" ht="18" customHeight="1">
      <c r="A23" s="1203" t="s">
        <v>1034</v>
      </c>
      <c r="B23" s="348" t="s">
        <v>1453</v>
      </c>
      <c r="C23" s="24">
        <f ca="1">IF('数据-取费表'!B22&lt;=1,ROUND(C19*F24*F23/2,0)+ROUND(C20*F24*F23/2,0),ROUND(C19*(POWER((1+F24),F23/2)-1),0)+ROUND(C20*(POWER((1+F24),F23/2)-1),0))</f>
        <v>17357</v>
      </c>
      <c r="D23" s="376" t="str">
        <f>IF(F23&lt;=1,"(建造成本+管理费用)×利率×(建设周期÷2)","(建造成本+管理费用)×((1+利率)^(建设周期÷2)-1)")</f>
        <v>(建造成本+管理费用)×((1+利率)^(建设周期÷2)-1)</v>
      </c>
      <c r="E23" s="348" t="s">
        <v>1454</v>
      </c>
      <c r="F23" s="372">
        <f>'数据-取费表'!B20</f>
        <v>2</v>
      </c>
      <c r="G23" s="1857"/>
      <c r="H23" s="1203"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7"/>
      <c r="H24" s="1341" t="s">
        <v>1394</v>
      </c>
      <c r="I24" s="1342" t="s">
        <v>1441</v>
      </c>
      <c r="J24" s="1343">
        <f ca="1">ROUND(J5*M24,0)</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8" t="s">
        <v>1463</v>
      </c>
      <c r="C25" s="24"/>
      <c r="D25" s="140" t="s">
        <v>1464</v>
      </c>
      <c r="E25" s="1821"/>
      <c r="F25" s="26"/>
      <c r="G25" s="1854"/>
      <c r="H25" s="1331" t="s">
        <v>1031</v>
      </c>
      <c r="I25" s="1346" t="s">
        <v>1465</v>
      </c>
      <c r="J25" s="356">
        <f ca="1">J5-J16</f>
        <v>-14046</v>
      </c>
      <c r="K25" s="1347" t="s">
        <v>1466</v>
      </c>
      <c r="L25" s="1348"/>
      <c r="M25" s="1349"/>
    </row>
    <row r="26" spans="1:37" ht="18" customHeight="1">
      <c r="A26" s="1203" t="s">
        <v>1034</v>
      </c>
      <c r="B26" s="348" t="s">
        <v>1467</v>
      </c>
      <c r="C26" s="24">
        <f ca="1">ROUND((C19+C20)*F26,0)</f>
        <v>73082</v>
      </c>
      <c r="D26" s="370" t="s">
        <v>1468</v>
      </c>
      <c r="E26" s="359" t="s">
        <v>1469</v>
      </c>
      <c r="F26" s="358">
        <f ca="1">INDIRECT("'数据-取费表'!q"&amp;$G$1)</f>
        <v>0.2</v>
      </c>
      <c r="G26" s="1854"/>
      <c r="H26" s="345" t="s">
        <v>1032</v>
      </c>
      <c r="I26" s="346" t="s">
        <v>1470</v>
      </c>
      <c r="J26" s="347">
        <f ca="1">IF(J5&lt;&gt;0,ROUND(J25*(1-((1+M28)/(1+M26))^M27)/(M26-M28),0),0)</f>
        <v>0</v>
      </c>
      <c r="K26" s="371" t="s">
        <v>1471</v>
      </c>
      <c r="L26" s="348" t="s">
        <v>1472</v>
      </c>
      <c r="M26" s="358">
        <f ca="1">INDIRECT("'数据-取费表'!I"&amp;$G$1)</f>
        <v>5.5E-2</v>
      </c>
    </row>
    <row r="27" spans="1:37" ht="18" customHeight="1">
      <c r="A27" s="1203" t="s">
        <v>1036</v>
      </c>
      <c r="B27" s="348" t="s">
        <v>1473</v>
      </c>
      <c r="C27" s="24">
        <f ca="1">ROUND(F21*F26,4)</f>
        <v>4.0000000000000001E-3</v>
      </c>
      <c r="D27" s="370" t="s">
        <v>1474</v>
      </c>
      <c r="E27" s="366"/>
      <c r="F27" s="367"/>
      <c r="G27" s="1854"/>
      <c r="H27" s="350"/>
      <c r="I27" s="351"/>
      <c r="J27" s="352"/>
      <c r="K27" s="379" t="s">
        <v>1475</v>
      </c>
      <c r="L27" s="348" t="s">
        <v>1476</v>
      </c>
      <c r="M27" s="380">
        <f ca="1">INDIRECT("'数据-取费表'!ag"&amp;$G$1)</f>
        <v>0</v>
      </c>
    </row>
    <row r="28" spans="1:37" s="1861" customFormat="1" ht="18" customHeight="1">
      <c r="A28" s="1203"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494576</v>
      </c>
      <c r="D29" s="1344"/>
      <c r="E29" s="1342"/>
      <c r="F29" s="1345"/>
      <c r="G29" s="1857"/>
      <c r="H29" s="381" t="s">
        <v>1033</v>
      </c>
      <c r="I29" s="382" t="s">
        <v>1481</v>
      </c>
      <c r="J29" s="383">
        <f ca="1">ROUND(J26/(1+F40)^F41,0)</f>
        <v>0</v>
      </c>
      <c r="K29" s="384" t="s">
        <v>1482</v>
      </c>
      <c r="L29" s="385"/>
      <c r="M29" s="386">
        <f ca="1">INDIRECT("'数据-取费表'!k"&amp;$G$1)</f>
        <v>88.84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6">
        <f ca="1">ROUND(C31+C36+C37+C38,0)</f>
        <v>29545</v>
      </c>
      <c r="D30" s="1339" t="s">
        <v>1427</v>
      </c>
      <c r="E30" s="1340"/>
      <c r="F30" s="1296"/>
      <c r="G30" s="1854"/>
      <c r="H30" s="744"/>
      <c r="I30" s="745"/>
      <c r="J30" s="746"/>
      <c r="K30" s="747"/>
      <c r="L30" s="748"/>
      <c r="M30" s="749"/>
    </row>
    <row r="31" spans="1:37" ht="18" customHeight="1">
      <c r="A31" s="1203" t="s">
        <v>1035</v>
      </c>
      <c r="B31" s="348" t="s">
        <v>1431</v>
      </c>
      <c r="C31" s="24">
        <f ca="1">ROUND(IF(项目基本情况!B11="自然人",C5*F31,C32+C33+C34),0)</f>
        <v>14779</v>
      </c>
      <c r="D31" s="1803" t="s">
        <v>1432</v>
      </c>
      <c r="E31" s="1801" t="s">
        <v>1483</v>
      </c>
      <c r="F31" s="369"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8" t="s">
        <v>1435</v>
      </c>
      <c r="C32" s="24">
        <f ca="1">IF(项目基本情况!B11="自然人","——",ROUND(C5*F32/(1+'数据-取费表'!C42),0))</f>
        <v>10625</v>
      </c>
      <c r="D32" s="1801" t="s">
        <v>1436</v>
      </c>
      <c r="E32" s="348" t="s">
        <v>1424</v>
      </c>
      <c r="F32" s="378">
        <f>'数据-取费表'!B41</f>
        <v>5.6000000000000001E-2</v>
      </c>
      <c r="G32" s="1854"/>
      <c r="H32" s="744"/>
      <c r="I32" s="745"/>
      <c r="J32" s="746"/>
      <c r="K32" s="747"/>
      <c r="L32" s="748"/>
      <c r="M32" s="749"/>
    </row>
    <row r="33" spans="1:18" ht="18" customHeight="1">
      <c r="A33" s="1203" t="s">
        <v>1036</v>
      </c>
      <c r="B33" s="348" t="s">
        <v>1439</v>
      </c>
      <c r="C33" s="24">
        <f ca="1">IF(项目基本情况!B11="自然人","——",IF(D33="按租金收入计税",ROUND(C5*F33,0),IF(D33="按房产原值计税",ROUND(C29*F33*0.7,0),INDIRECT("'数据-取费表'!Aj"&amp;$G$1))))</f>
        <v>4154</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3" t="s">
        <v>1390</v>
      </c>
      <c r="B34" s="165" t="s">
        <v>1443</v>
      </c>
      <c r="C34" s="25">
        <f ca="1">IF(项目基本情况!B11="自然人","——",ROUND(F34*F35,))</f>
        <v>0</v>
      </c>
      <c r="D34" s="371" t="s">
        <v>1444</v>
      </c>
      <c r="E34" s="348" t="s">
        <v>1445</v>
      </c>
      <c r="F34" s="372">
        <f>'数据-取费表'!B52</f>
        <v>24</v>
      </c>
      <c r="G34" s="1854"/>
      <c r="H34" s="744"/>
      <c r="I34" s="1863"/>
      <c r="J34" s="1864"/>
      <c r="K34" s="1866"/>
      <c r="L34" s="1867"/>
      <c r="M34" s="1867"/>
    </row>
    <row r="35" spans="1:18" ht="18" customHeight="1">
      <c r="A35" s="1355"/>
      <c r="B35" s="1353"/>
      <c r="C35" s="29"/>
      <c r="D35" s="374"/>
      <c r="E35" s="348" t="s">
        <v>1449</v>
      </c>
      <c r="F35" s="349">
        <f ca="1">INDIRECT("'数据-取费表'!r"&amp;$G$1)</f>
        <v>0</v>
      </c>
      <c r="G35" s="1854"/>
      <c r="H35" s="744"/>
      <c r="I35" s="1863"/>
      <c r="J35" s="1864"/>
      <c r="K35" s="1865"/>
      <c r="L35" s="1862"/>
      <c r="M35" s="1862"/>
    </row>
    <row r="36" spans="1:18" ht="18" customHeight="1">
      <c r="A36" s="1354" t="s">
        <v>1039</v>
      </c>
      <c r="B36" s="348" t="s">
        <v>1451</v>
      </c>
      <c r="C36" s="24">
        <f ca="1">ROUND(C29*F36,0)</f>
        <v>9892</v>
      </c>
      <c r="D36" s="1801" t="s">
        <v>1484</v>
      </c>
      <c r="E36" s="348" t="s">
        <v>1424</v>
      </c>
      <c r="F36" s="375">
        <f ca="1">INDIRECT("'数据-取费表'!Ak"&amp;$G$1)</f>
        <v>0.02</v>
      </c>
      <c r="G36" s="1854"/>
      <c r="H36" s="1862"/>
      <c r="I36" s="1863"/>
      <c r="J36" s="1864"/>
      <c r="K36" s="750"/>
      <c r="L36" s="1862"/>
      <c r="M36" s="1862"/>
    </row>
    <row r="37" spans="1:18" ht="18" customHeight="1">
      <c r="A37" s="1203" t="s">
        <v>1075</v>
      </c>
      <c r="B37" s="348" t="s">
        <v>1455</v>
      </c>
      <c r="C37" s="24">
        <f ca="1">ROUND(C13*F37,0)</f>
        <v>890</v>
      </c>
      <c r="D37" s="1801" t="s">
        <v>1456</v>
      </c>
      <c r="E37" s="348" t="s">
        <v>1457</v>
      </c>
      <c r="F37" s="377">
        <f ca="1">INDIRECT("'数据-取费表'!Al"&amp;$G$1)</f>
        <v>2E-3</v>
      </c>
      <c r="G37" s="1854"/>
      <c r="H37" s="1862"/>
      <c r="I37" s="1863"/>
      <c r="J37" s="1864"/>
      <c r="K37" s="750"/>
      <c r="L37" s="1862"/>
      <c r="M37" s="1862"/>
    </row>
    <row r="38" spans="1:18" ht="18" customHeight="1" thickBot="1">
      <c r="A38" s="1341" t="s">
        <v>1394</v>
      </c>
      <c r="B38" s="1342" t="s">
        <v>1441</v>
      </c>
      <c r="C38" s="1343">
        <f ca="1">ROUND(C5*F38,1)</f>
        <v>3984.4</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6">
        <f ca="1">C5-C30</f>
        <v>169676</v>
      </c>
      <c r="D39" s="1347" t="s">
        <v>1486</v>
      </c>
      <c r="E39" s="1348"/>
      <c r="F39" s="1349"/>
      <c r="G39" s="1854"/>
      <c r="H39" s="1862"/>
      <c r="I39" s="1863"/>
      <c r="J39" s="1864"/>
      <c r="K39" s="1868"/>
      <c r="L39" s="1862"/>
      <c r="M39" s="1862"/>
    </row>
    <row r="40" spans="1:18" ht="18" customHeight="1">
      <c r="A40" s="345" t="s">
        <v>1032</v>
      </c>
      <c r="B40" s="346" t="s">
        <v>1487</v>
      </c>
      <c r="C40" s="347">
        <f ca="1">ROUND(C39*(1-((1+F42)/(1+F40))^F41)/(F40-F42),0)</f>
        <v>4928133</v>
      </c>
      <c r="D40" s="371" t="s">
        <v>1471</v>
      </c>
      <c r="E40" s="348" t="s">
        <v>1472</v>
      </c>
      <c r="F40" s="358">
        <f ca="1">INDIRECT("'数据-取费表'!I"&amp;$G$1)</f>
        <v>5.5E-2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1"/>
      <c r="I41" s="1863"/>
      <c r="J41" s="1864"/>
      <c r="K41" s="750"/>
      <c r="L41" s="731"/>
      <c r="M41" s="731"/>
    </row>
    <row r="42" spans="1:18" ht="18" customHeight="1">
      <c r="A42" s="354"/>
      <c r="B42" s="355"/>
      <c r="C42" s="356"/>
      <c r="D42" s="374"/>
      <c r="E42" s="348" t="s">
        <v>1479</v>
      </c>
      <c r="F42" s="358">
        <f ca="1">INDIRECT("'数据-取费表'!v"&amp;$G$1)</f>
        <v>0.03</v>
      </c>
      <c r="G42" s="1854"/>
      <c r="H42" s="731"/>
      <c r="I42" s="1863"/>
      <c r="J42" s="1864"/>
      <c r="K42" s="750"/>
      <c r="L42" s="731"/>
      <c r="M42" s="731"/>
    </row>
    <row r="43" spans="1:18" ht="18" customHeight="1" thickBot="1">
      <c r="A43" s="381" t="s">
        <v>1033</v>
      </c>
      <c r="B43" s="382" t="s">
        <v>1489</v>
      </c>
      <c r="C43" s="383">
        <f ca="1">ROUND(C40/F43,0)</f>
        <v>55472</v>
      </c>
      <c r="D43" s="384" t="s">
        <v>1490</v>
      </c>
      <c r="E43" s="385" t="s">
        <v>1491</v>
      </c>
      <c r="F43" s="386">
        <f ca="1">INDIRECT("'数据-取费表'!k"&amp;$G$1)</f>
        <v>88.84</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942">
        <f ca="1">C68-C40</f>
        <v>-7436</v>
      </c>
      <c r="D45" s="1943" t="s">
        <v>1606</v>
      </c>
      <c r="E45" s="1869"/>
      <c r="F45" s="1869"/>
      <c r="O45" s="1872" t="s">
        <v>1521</v>
      </c>
      <c r="P45" s="1842"/>
      <c r="Q45" s="1842"/>
      <c r="R45" s="1842"/>
    </row>
    <row r="46" spans="1:18" s="1845" customFormat="1" ht="13.5" thickBot="1">
      <c r="A46" s="1873" t="s">
        <v>1522</v>
      </c>
      <c r="C46" s="1874">
        <f ca="1">ROUND(C45/10000,0)</f>
        <v>-1</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1"/>
      <c r="I47" s="1883" t="s">
        <v>1528</v>
      </c>
      <c r="J47" s="1884" t="s">
        <v>3112</v>
      </c>
      <c r="K47" s="1885" t="s">
        <v>1529</v>
      </c>
      <c r="L47" s="1886">
        <f ca="1">INDIRECT("'数据-取费表'!d"&amp;$G$1)</f>
        <v>70</v>
      </c>
      <c r="M47" s="1841" t="str">
        <f>IF(ISNUMBER(FIND("住宅",C1)),"住宅","非住宅")</f>
        <v>住宅</v>
      </c>
      <c r="O47" s="1887" t="s">
        <v>1040</v>
      </c>
      <c r="P47" s="1888" t="s">
        <v>1530</v>
      </c>
      <c r="Q47" s="1889">
        <f ca="1">C40+J29</f>
        <v>4928133</v>
      </c>
      <c r="R47" s="1889" t="s">
        <v>1531</v>
      </c>
    </row>
    <row r="48" spans="1:18" s="1845" customFormat="1" ht="28.5" thickBot="1">
      <c r="A48" s="1362" t="s">
        <v>1135</v>
      </c>
      <c r="B48" s="346" t="s">
        <v>1402</v>
      </c>
      <c r="C48" s="1820">
        <f ca="1">C49+C53+C55</f>
        <v>198945</v>
      </c>
      <c r="D48" s="1364"/>
      <c r="E48" s="1365"/>
      <c r="F48" s="1183"/>
      <c r="G48" s="791"/>
      <c r="H48" s="792"/>
      <c r="I48" s="1890" t="s">
        <v>1532</v>
      </c>
      <c r="J48" s="1891" t="s">
        <v>3140</v>
      </c>
      <c r="K48" s="1892" t="s">
        <v>1533</v>
      </c>
      <c r="L48" s="1893">
        <f ca="1">INDIRECT("'数据-取费表'!f"&amp;$G$1)</f>
        <v>56</v>
      </c>
      <c r="O48" s="1887" t="s">
        <v>1041</v>
      </c>
      <c r="P48" s="1888" t="s">
        <v>1534</v>
      </c>
      <c r="Q48" s="1889" t="str">
        <f ca="1">J60</f>
        <v>0</v>
      </c>
      <c r="R48" s="1889" t="s">
        <v>1535</v>
      </c>
    </row>
    <row r="49" spans="1:18" s="1845" customFormat="1" ht="13.5" thickBot="1">
      <c r="A49" s="1196" t="s">
        <v>1136</v>
      </c>
      <c r="B49" s="1832" t="s">
        <v>1492</v>
      </c>
      <c r="C49" s="1366">
        <f ca="1">ROUND(F49*F51*F50*(1-F52),0)</f>
        <v>198945</v>
      </c>
      <c r="D49" s="1278" t="s">
        <v>1405</v>
      </c>
      <c r="E49" s="1833" t="s">
        <v>1493</v>
      </c>
      <c r="F49" s="1283">
        <f ca="1">F6</f>
        <v>18420.8</v>
      </c>
      <c r="G49" s="1894"/>
      <c r="H49" s="792"/>
      <c r="I49" s="1890" t="s">
        <v>1536</v>
      </c>
      <c r="J49" s="1895">
        <v>2011</v>
      </c>
      <c r="K49" s="1892" t="s">
        <v>1537</v>
      </c>
      <c r="L49" s="1896"/>
      <c r="O49" s="1897" t="s">
        <v>1042</v>
      </c>
      <c r="P49" s="1888" t="s">
        <v>1538</v>
      </c>
      <c r="Q49" s="1889">
        <f ca="1">C29</f>
        <v>494576</v>
      </c>
      <c r="R49" s="1889" t="s">
        <v>1531</v>
      </c>
    </row>
    <row r="50" spans="1:18" s="1845" customFormat="1" ht="13.5" thickBot="1">
      <c r="A50" s="1197"/>
      <c r="B50" s="1200"/>
      <c r="C50" s="1201"/>
      <c r="D50" s="1174"/>
      <c r="E50" s="1279" t="s">
        <v>1407</v>
      </c>
      <c r="F50" s="1280">
        <f ca="1">F7</f>
        <v>1</v>
      </c>
      <c r="H50" s="792"/>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9">
        <f ca="1">F8</f>
        <v>12</v>
      </c>
      <c r="I51" s="1901" t="s">
        <v>1542</v>
      </c>
      <c r="J51" s="1902">
        <f>IF(J49="",J50,J49+J50-YEAR('数据-取费表'!B2))</f>
        <v>54</v>
      </c>
      <c r="K51" s="1903" t="s">
        <v>1543</v>
      </c>
      <c r="L51" s="1904">
        <f ca="1">ROUND(-PV(INDIRECT("'数据-取费表'!h"&amp;$G$1),L48,(C39-C13*C76),0),0)</f>
        <v>2680727</v>
      </c>
      <c r="M51" s="1905"/>
      <c r="O51" s="1897" t="s">
        <v>1044</v>
      </c>
      <c r="P51" s="1888" t="s">
        <v>1544</v>
      </c>
      <c r="Q51" s="1900">
        <f>J52</f>
        <v>0.09</v>
      </c>
      <c r="R51" s="1889"/>
    </row>
    <row r="52" spans="1:18" s="1845" customFormat="1" ht="13.5" thickBot="1">
      <c r="A52" s="1198"/>
      <c r="B52" s="1200"/>
      <c r="C52" s="1201"/>
      <c r="D52" s="1174"/>
      <c r="E52" s="1202" t="s">
        <v>1409</v>
      </c>
      <c r="F52" s="1277">
        <f ca="1">F9</f>
        <v>0.1</v>
      </c>
      <c r="I52" s="1906" t="s">
        <v>1545</v>
      </c>
      <c r="J52" s="1907">
        <v>0.09</v>
      </c>
      <c r="K52" s="1906" t="s">
        <v>1546</v>
      </c>
      <c r="L52" s="1907"/>
      <c r="O52" s="1897" t="s">
        <v>1045</v>
      </c>
      <c r="P52" s="1888" t="s">
        <v>1547</v>
      </c>
      <c r="Q52" s="1889">
        <f>J53</f>
        <v>54</v>
      </c>
      <c r="R52" s="1889" t="s">
        <v>1548</v>
      </c>
    </row>
    <row r="53" spans="1:18" s="1845" customFormat="1" ht="30.75" customHeight="1" thickBot="1">
      <c r="A53" s="1363" t="s">
        <v>1137</v>
      </c>
      <c r="B53" s="370" t="s">
        <v>1410</v>
      </c>
      <c r="C53" s="362">
        <f ca="1">ROUND(IF(F53="押一",F49*F51*F50/12*F11,IF(F53="押二",F49*F51*F50/12*2*F11,IF(F53="押三",F49*F51*F50/12*3*F11,C54*F11))),0)</f>
        <v>0</v>
      </c>
      <c r="D53" s="1827" t="s">
        <v>1411</v>
      </c>
      <c r="E53" s="359" t="s">
        <v>1412</v>
      </c>
      <c r="F53" s="1368"/>
      <c r="I53" s="1908" t="s">
        <v>1549</v>
      </c>
      <c r="J53" s="1909">
        <f>IF(M47="住宅",J51,IF(D1="——",MIN(J51,L48),IF(D1="在建（套用方法）",MIN(J51,L48-'数据-取费表'!B24),IF(D1="土地（套用方法）",MIN(J51,L48-'数据-取费表'!B20)))))</f>
        <v>54</v>
      </c>
      <c r="K53" s="3196" t="s">
        <v>1550</v>
      </c>
      <c r="L53" s="3197"/>
      <c r="O53" s="1887" t="s">
        <v>1046</v>
      </c>
      <c r="P53" s="1888" t="s">
        <v>1551</v>
      </c>
      <c r="Q53" s="1889">
        <f ca="1">Q47+Q48</f>
        <v>4928133</v>
      </c>
      <c r="R53" s="1889" t="s">
        <v>1047</v>
      </c>
    </row>
    <row r="54" spans="1:18" s="1845" customFormat="1" ht="13.5" thickBot="1">
      <c r="A54" s="1196"/>
      <c r="B54" s="1944" t="s">
        <v>1605</v>
      </c>
      <c r="C54" s="1180"/>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3145</v>
      </c>
      <c r="O55" s="1880" t="s">
        <v>1524</v>
      </c>
      <c r="P55" s="1881" t="s">
        <v>1525</v>
      </c>
      <c r="Q55" s="1882" t="s">
        <v>1526</v>
      </c>
      <c r="R55" s="1882" t="s">
        <v>1527</v>
      </c>
    </row>
    <row r="56" spans="1:18" s="1845" customFormat="1" ht="36" customHeight="1" thickTop="1" thickBot="1">
      <c r="A56" s="1178">
        <v>2</v>
      </c>
      <c r="B56" s="1179" t="s">
        <v>1416</v>
      </c>
      <c r="C56" s="277">
        <f ca="1">C13</f>
        <v>445118</v>
      </c>
      <c r="D56" s="1917"/>
      <c r="E56" s="1918"/>
      <c r="F56" s="1910"/>
      <c r="I56" s="1919" t="s">
        <v>1556</v>
      </c>
      <c r="J56" s="1920" t="s">
        <v>3049</v>
      </c>
      <c r="K56" s="1890" t="s">
        <v>1557</v>
      </c>
      <c r="L56" s="1893">
        <f ca="1">IF(L48&lt;J51,"——",L48-J51)</f>
        <v>2</v>
      </c>
      <c r="O56" s="1887" t="s">
        <v>1040</v>
      </c>
      <c r="P56" s="1888" t="s">
        <v>1530</v>
      </c>
      <c r="Q56" s="1889">
        <f ca="1">C40+J29</f>
        <v>4928133</v>
      </c>
      <c r="R56" s="1889" t="s">
        <v>1531</v>
      </c>
    </row>
    <row r="57" spans="1:18" s="1845" customFormat="1" ht="24.75" thickBot="1">
      <c r="A57" s="1921"/>
      <c r="B57" s="1171" t="s">
        <v>1480</v>
      </c>
      <c r="C57" s="283">
        <f ca="1">C29</f>
        <v>494576</v>
      </c>
      <c r="D57" s="1922"/>
      <c r="E57" s="1923"/>
      <c r="F57" s="1924"/>
      <c r="I57" s="1925" t="s">
        <v>1558</v>
      </c>
      <c r="J57" s="1926" t="str">
        <f ca="1">IF(OR(M47="住宅",J51&lt;L48,J56="是"),"——",J51-L48)</f>
        <v>——</v>
      </c>
      <c r="K57" s="1890" t="s">
        <v>1607</v>
      </c>
      <c r="L57" s="1893">
        <f ca="1">IF(L48&lt;J51,"——",IF(L55="比较法",L49,IF(L55="基准地价",L50,L51)))</f>
        <v>0</v>
      </c>
      <c r="O57" s="1887" t="s">
        <v>1041</v>
      </c>
      <c r="P57" s="1888" t="s">
        <v>1608</v>
      </c>
      <c r="Q57" s="1889">
        <f ca="1">L60</f>
        <v>0</v>
      </c>
      <c r="R57" s="1889" t="s">
        <v>1609</v>
      </c>
    </row>
    <row r="58" spans="1:18" s="1845" customFormat="1" ht="24.75" thickBot="1">
      <c r="A58" s="361" t="s">
        <v>1030</v>
      </c>
      <c r="B58" s="1179" t="s">
        <v>1426</v>
      </c>
      <c r="C58" s="362">
        <f ca="1">ROUND(C59+C64+C65+C66,0)</f>
        <v>29525</v>
      </c>
      <c r="D58" s="1181" t="s">
        <v>1427</v>
      </c>
      <c r="E58" s="1182"/>
      <c r="F58" s="1183"/>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14764</v>
      </c>
      <c r="D59" s="1184" t="s">
        <v>1432</v>
      </c>
      <c r="E59" s="1185"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10610</v>
      </c>
      <c r="D60" s="1185" t="s">
        <v>1436</v>
      </c>
      <c r="E60" s="1171"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4154</v>
      </c>
      <c r="D61" s="1831" t="s">
        <v>1440</v>
      </c>
      <c r="E61" s="1171" t="s">
        <v>1496</v>
      </c>
      <c r="F61" s="368">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2">
        <f t="shared" si="0"/>
        <v>24</v>
      </c>
      <c r="I62" s="1932" t="s">
        <v>1572</v>
      </c>
      <c r="J62" s="1933" t="s">
        <v>1573</v>
      </c>
      <c r="K62" s="1933" t="s">
        <v>1574</v>
      </c>
      <c r="L62" s="1933" t="s">
        <v>1575</v>
      </c>
      <c r="M62" s="1934" t="s">
        <v>1576</v>
      </c>
      <c r="O62" s="1887" t="s">
        <v>1046</v>
      </c>
      <c r="P62" s="1888" t="s">
        <v>1577</v>
      </c>
      <c r="Q62" s="1889">
        <f ca="1">Q56+Q57</f>
        <v>4928133</v>
      </c>
      <c r="R62" s="1889" t="s">
        <v>1047</v>
      </c>
    </row>
    <row r="63" spans="1:18" s="1845" customFormat="1" ht="13.5" thickBot="1">
      <c r="A63" s="373"/>
      <c r="B63" s="1177"/>
      <c r="C63" s="29"/>
      <c r="D63" s="1187"/>
      <c r="E63" s="1171"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9892</v>
      </c>
      <c r="D64" s="1185" t="s">
        <v>1504</v>
      </c>
      <c r="E64" s="1171" t="s">
        <v>1496</v>
      </c>
      <c r="F64" s="375">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890</v>
      </c>
      <c r="D65" s="1185" t="s">
        <v>1456</v>
      </c>
      <c r="E65" s="1171" t="s">
        <v>1457</v>
      </c>
      <c r="F65" s="377">
        <f t="shared" ca="1" si="0"/>
        <v>2E-3</v>
      </c>
      <c r="I65" s="1932" t="s">
        <v>1581</v>
      </c>
      <c r="J65" s="1933">
        <v>40</v>
      </c>
      <c r="K65" s="1933">
        <v>30</v>
      </c>
      <c r="L65" s="1933">
        <v>50</v>
      </c>
      <c r="M65" s="1935">
        <v>0.02</v>
      </c>
      <c r="O65" s="1887" t="s">
        <v>1040</v>
      </c>
      <c r="P65" s="1888" t="s">
        <v>1582</v>
      </c>
      <c r="Q65" s="1889">
        <f ca="1">C40+J29</f>
        <v>4928133</v>
      </c>
      <c r="R65" s="1889" t="s">
        <v>1531</v>
      </c>
    </row>
    <row r="66" spans="1:18" s="1845" customFormat="1" ht="16.5" thickBot="1">
      <c r="A66" s="1203" t="s">
        <v>1506</v>
      </c>
      <c r="B66" s="1171" t="s">
        <v>1441</v>
      </c>
      <c r="C66" s="24">
        <f ca="1">ROUND(C48*F66,0)</f>
        <v>3979</v>
      </c>
      <c r="D66" s="1185" t="s">
        <v>1507</v>
      </c>
      <c r="E66" s="1171" t="s">
        <v>1424</v>
      </c>
      <c r="F66" s="358">
        <f t="shared" ca="1" si="0"/>
        <v>0.02</v>
      </c>
      <c r="O66" s="1887" t="s">
        <v>1041</v>
      </c>
      <c r="P66" s="1888" t="s">
        <v>1560</v>
      </c>
      <c r="Q66" s="1889">
        <f ca="1">L60</f>
        <v>0</v>
      </c>
      <c r="R66" s="1889" t="s">
        <v>1583</v>
      </c>
    </row>
    <row r="67" spans="1:18" s="1845" customFormat="1" ht="16.5" thickBot="1">
      <c r="A67" s="1178" t="s">
        <v>1031</v>
      </c>
      <c r="B67" s="1188" t="s">
        <v>1465</v>
      </c>
      <c r="C67" s="362">
        <f ca="1">C48-C58</f>
        <v>169420</v>
      </c>
      <c r="D67" s="1184" t="s">
        <v>1466</v>
      </c>
      <c r="E67" s="1189"/>
      <c r="F67" s="1190"/>
      <c r="O67" s="1897" t="s">
        <v>1042</v>
      </c>
      <c r="P67" s="1888" t="s">
        <v>1564</v>
      </c>
      <c r="Q67" s="1936">
        <f ca="1">L51</f>
        <v>2680727</v>
      </c>
      <c r="R67" s="1889" t="s">
        <v>1584</v>
      </c>
    </row>
    <row r="68" spans="1:18" s="1845" customFormat="1" ht="16.5" thickBot="1">
      <c r="A68" s="1168" t="s">
        <v>1032</v>
      </c>
      <c r="B68" s="1169" t="s">
        <v>1487</v>
      </c>
      <c r="C68" s="347">
        <f ca="1">ROUND(C67*(1-((1+F70)/(1+F68))^F69)/(F68-F70),0)</f>
        <v>4920697</v>
      </c>
      <c r="D68" s="1186" t="s">
        <v>1471</v>
      </c>
      <c r="E68" s="1171" t="s">
        <v>1472</v>
      </c>
      <c r="F68" s="358">
        <f ca="1">F40</f>
        <v>5.5E-2</v>
      </c>
      <c r="O68" s="1897" t="s">
        <v>1043</v>
      </c>
      <c r="P68" s="1937" t="s">
        <v>1585</v>
      </c>
      <c r="Q68" s="1889">
        <f ca="1">ROUND(Q69-Q70*Q71,0)</f>
        <v>131841</v>
      </c>
      <c r="R68" s="1889" t="s">
        <v>1051</v>
      </c>
    </row>
    <row r="69" spans="1:18" s="1845" customFormat="1" ht="13.5" thickBot="1">
      <c r="A69" s="1172"/>
      <c r="B69" s="1173"/>
      <c r="C69" s="352"/>
      <c r="D69" s="1191" t="s">
        <v>1475</v>
      </c>
      <c r="E69" s="1171" t="s">
        <v>1476</v>
      </c>
      <c r="F69" s="380">
        <f ca="1">F41</f>
        <v>54</v>
      </c>
      <c r="O69" s="1897" t="s">
        <v>1048</v>
      </c>
      <c r="P69" s="1937" t="s">
        <v>1586</v>
      </c>
      <c r="Q69" s="1889">
        <f ca="1">C39</f>
        <v>169676</v>
      </c>
      <c r="R69" s="1889" t="s">
        <v>1531</v>
      </c>
    </row>
    <row r="70" spans="1:18" s="1845" customFormat="1" ht="13.5" thickBot="1">
      <c r="A70" s="1175"/>
      <c r="B70" s="1176"/>
      <c r="C70" s="356"/>
      <c r="D70" s="1187"/>
      <c r="E70" s="1171" t="s">
        <v>1479</v>
      </c>
      <c r="F70" s="1277">
        <f ca="1">F42</f>
        <v>0.03</v>
      </c>
      <c r="O70" s="1897" t="s">
        <v>1049</v>
      </c>
      <c r="P70" s="1937" t="s">
        <v>1587</v>
      </c>
      <c r="Q70" s="1889">
        <f ca="1">C13</f>
        <v>445118</v>
      </c>
      <c r="R70" s="1889" t="s">
        <v>1531</v>
      </c>
    </row>
    <row r="71" spans="1:18" s="1845" customFormat="1" ht="13.5" thickBot="1">
      <c r="A71" s="1192" t="s">
        <v>1033</v>
      </c>
      <c r="B71" s="1193" t="s">
        <v>1489</v>
      </c>
      <c r="C71" s="383">
        <f ca="1">ROUND(C68/F71,0)</f>
        <v>55388</v>
      </c>
      <c r="D71" s="1194" t="s">
        <v>1490</v>
      </c>
      <c r="E71" s="1195" t="s">
        <v>1491</v>
      </c>
      <c r="F71" s="386">
        <f ca="1">F43</f>
        <v>88.84</v>
      </c>
      <c r="O71" s="1897" t="s">
        <v>1050</v>
      </c>
      <c r="P71" s="1937" t="s">
        <v>1588</v>
      </c>
      <c r="Q71" s="1900">
        <f ca="1">C76</f>
        <v>8.5000000000000006E-2</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7" t="s">
        <v>1508</v>
      </c>
      <c r="C75" s="388">
        <f ca="1">ROUND(C13*C76,0)</f>
        <v>37835</v>
      </c>
      <c r="D75" s="1845"/>
      <c r="E75" s="1845"/>
      <c r="F75" s="1845"/>
      <c r="K75" s="1871"/>
      <c r="L75" s="1845"/>
      <c r="O75" s="1887" t="s">
        <v>1046</v>
      </c>
      <c r="P75" s="1888" t="s">
        <v>1551</v>
      </c>
      <c r="Q75" s="1889">
        <f ca="1">Q65+Q66</f>
        <v>4928133</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0.77700000000000002</v>
      </c>
    </row>
    <row r="80" spans="1:18">
      <c r="B80" s="387" t="s">
        <v>1513</v>
      </c>
      <c r="C80" s="319">
        <f ca="1">ROUND(C75/C39,3)</f>
        <v>0.223</v>
      </c>
    </row>
    <row r="81" spans="2:3">
      <c r="B81" s="315" t="s">
        <v>1514</v>
      </c>
      <c r="C81" s="283"/>
    </row>
    <row r="82" spans="2:3">
      <c r="B82" s="318" t="s">
        <v>1515</v>
      </c>
      <c r="C82" s="320">
        <f ca="1">1-C83</f>
        <v>0.91</v>
      </c>
    </row>
    <row r="83" spans="2:3">
      <c r="B83" s="318" t="s">
        <v>1516</v>
      </c>
      <c r="C83" s="319">
        <f ca="1">ROUND(C13/C40,3)</f>
        <v>0.09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493</v>
      </c>
      <c r="C2" s="2569" t="s">
        <v>2517</v>
      </c>
      <c r="D2" s="2570" t="s">
        <v>2518</v>
      </c>
      <c r="E2" s="2571">
        <f>SUM(E6:E13)</f>
        <v>88.84</v>
      </c>
    </row>
    <row r="3" spans="1:6" ht="15.75">
      <c r="A3" s="2567" t="s">
        <v>1396</v>
      </c>
      <c r="B3" s="2568">
        <f ca="1">ROUND(B2*10000/E2,0)</f>
        <v>55493</v>
      </c>
      <c r="C3" s="2569" t="s">
        <v>2525</v>
      </c>
      <c r="D3" s="2572"/>
      <c r="E3" s="2573"/>
    </row>
    <row r="4" spans="1:6" ht="15.75">
      <c r="A4" s="2574"/>
      <c r="B4" s="2572"/>
      <c r="C4" s="2572"/>
      <c r="D4" s="2572"/>
      <c r="E4" s="2573"/>
    </row>
    <row r="5" spans="1:6" ht="15">
      <c r="A5" s="2575" t="s">
        <v>2519</v>
      </c>
      <c r="B5" s="3198" t="s">
        <v>2520</v>
      </c>
      <c r="C5" s="3198"/>
      <c r="D5" s="2576"/>
      <c r="E5" s="2577" t="s">
        <v>2521</v>
      </c>
      <c r="F5" s="2578" t="s">
        <v>2522</v>
      </c>
    </row>
    <row r="6" spans="1:6">
      <c r="A6" s="2579" t="str">
        <f>'数据-取费表'!AN6</f>
        <v>收益法 (元)</v>
      </c>
      <c r="B6" s="2578">
        <f ca="1">IF(F6="是",'数据-取费表'!AO6,0)</f>
        <v>493</v>
      </c>
      <c r="C6" s="2569" t="s">
        <v>2517</v>
      </c>
      <c r="D6" s="2572"/>
      <c r="E6" s="2580">
        <f>IF(OR(A6=0,F6="否"),0,'数据-取费表'!K6+'数据-取费表'!S6)</f>
        <v>88.84</v>
      </c>
      <c r="F6" s="2581" t="s">
        <v>2523</v>
      </c>
    </row>
    <row r="7" spans="1:6">
      <c r="A7" s="2579">
        <f>'数据-取费表'!AN7</f>
        <v>0</v>
      </c>
      <c r="B7" s="2578" t="e">
        <f ca="1">IF(F7="是",'数据-取费表'!AO7,0)</f>
        <v>#REF!</v>
      </c>
      <c r="C7" s="2569" t="s">
        <v>2517</v>
      </c>
      <c r="D7" s="2572"/>
      <c r="E7" s="2580">
        <f>IF(OR(A7=0,F7="否"),0,'数据-取费表'!K7+'数据-取费表'!S7)</f>
        <v>0</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9" zoomScale="90" zoomScaleNormal="90" workbookViewId="0">
      <selection activeCell="I28" sqref="I2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585" t="s">
        <v>2527</v>
      </c>
      <c r="C1" s="1637" t="s">
        <v>2528</v>
      </c>
      <c r="D1" s="1624" t="s">
        <v>3046</v>
      </c>
      <c r="E1" s="2586"/>
      <c r="F1" s="2587" t="s">
        <v>3138</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4" customFormat="1" ht="28.5" customHeight="1" thickTop="1">
      <c r="A2" s="1620" t="s">
        <v>1395</v>
      </c>
      <c r="B2" s="1420">
        <f>IF(C2="——",ROUND(C49*D3/10000,0),ROUND(C49*D3/10000,0)-D2)</f>
        <v>164</v>
      </c>
      <c r="C2" s="2589" t="s">
        <v>70</v>
      </c>
      <c r="D2" s="1367" t="e">
        <f ca="1">SUMIF(INDIRECT("'"&amp;F2&amp;"'"&amp;"!A:A"),"承租人权益价值",INDIRECT("'"&amp;F2&amp;"'"&amp;"!c:c"))</f>
        <v>#REF!</v>
      </c>
      <c r="E2" s="2590" t="s">
        <v>2326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18420.8</v>
      </c>
      <c r="C3" s="401" t="s">
        <v>2532</v>
      </c>
      <c r="D3" s="400">
        <f>IF(D1="",'数据-汇总表'!E3,SUMIF('数据-汇总表'!$C19:$C33,D1,'数据-汇总表'!$E19:$E33))</f>
        <v>88.84</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2" t="s">
        <v>2533</v>
      </c>
      <c r="B4" s="403"/>
      <c r="C4" s="3165" t="s">
        <v>2534</v>
      </c>
      <c r="D4" s="3166"/>
      <c r="E4" s="3167" t="s">
        <v>2535</v>
      </c>
      <c r="F4" s="3168"/>
      <c r="G4" s="3165" t="s">
        <v>2536</v>
      </c>
      <c r="H4" s="3166"/>
      <c r="I4" s="3165" t="s">
        <v>2537</v>
      </c>
      <c r="J4" s="3166"/>
      <c r="K4" s="2599" t="s">
        <v>2538</v>
      </c>
      <c r="L4" s="1132"/>
      <c r="M4" s="1133"/>
      <c r="N4" s="1133"/>
      <c r="O4" s="1133"/>
      <c r="P4" s="3169" t="s">
        <v>2539</v>
      </c>
      <c r="Q4" s="3170"/>
      <c r="R4" s="3151" t="s">
        <v>2535</v>
      </c>
      <c r="S4" s="3152"/>
      <c r="T4" s="3151" t="s">
        <v>2536</v>
      </c>
      <c r="U4" s="3152"/>
      <c r="V4" s="3177" t="s">
        <v>2537</v>
      </c>
      <c r="W4" s="3177"/>
      <c r="X4" s="2950"/>
      <c r="Y4" s="3151" t="s">
        <v>2539</v>
      </c>
      <c r="Z4" s="3152"/>
      <c r="AA4" s="3146" t="s">
        <v>2535</v>
      </c>
      <c r="AB4" s="3146" t="s">
        <v>2536</v>
      </c>
      <c r="AC4" s="3146" t="s">
        <v>2537</v>
      </c>
    </row>
    <row r="5" spans="1:29" ht="15">
      <c r="A5" s="405"/>
      <c r="B5" s="406"/>
      <c r="C5" s="3157" t="s">
        <v>2540</v>
      </c>
      <c r="D5" s="3158"/>
      <c r="E5" s="3155" t="s">
        <v>3147</v>
      </c>
      <c r="F5" s="3156"/>
      <c r="G5" s="3161" t="s">
        <v>3149</v>
      </c>
      <c r="H5" s="3158"/>
      <c r="I5" s="3161" t="s">
        <v>3151</v>
      </c>
      <c r="J5" s="3158"/>
      <c r="K5" s="2600"/>
      <c r="L5" s="1132"/>
      <c r="M5" s="1133"/>
      <c r="N5" s="1133"/>
      <c r="O5" s="1133"/>
      <c r="P5" s="3171"/>
      <c r="Q5" s="3172"/>
      <c r="R5" s="3153"/>
      <c r="S5" s="3154"/>
      <c r="T5" s="3153"/>
      <c r="U5" s="3154"/>
      <c r="V5" s="3177"/>
      <c r="W5" s="3177"/>
      <c r="X5" s="2950"/>
      <c r="Y5" s="3153"/>
      <c r="Z5" s="3154"/>
      <c r="AA5" s="3147"/>
      <c r="AB5" s="3147"/>
      <c r="AC5" s="3147"/>
    </row>
    <row r="6" spans="1:29" ht="15.75" thickBot="1">
      <c r="A6" s="407"/>
      <c r="B6" s="408"/>
      <c r="C6" s="3159" t="s">
        <v>2544</v>
      </c>
      <c r="D6" s="3160"/>
      <c r="E6" s="3162" t="s">
        <v>2544</v>
      </c>
      <c r="F6" s="3163"/>
      <c r="G6" s="3159" t="s">
        <v>2544</v>
      </c>
      <c r="H6" s="3160"/>
      <c r="I6" s="3159" t="s">
        <v>2544</v>
      </c>
      <c r="J6" s="3160"/>
      <c r="K6" s="2600" t="s">
        <v>2545</v>
      </c>
      <c r="L6" s="1132"/>
      <c r="M6" s="1133"/>
      <c r="N6" s="1133"/>
      <c r="O6" s="1133"/>
      <c r="P6" s="3173"/>
      <c r="Q6" s="3174"/>
      <c r="R6" s="3153"/>
      <c r="S6" s="3154"/>
      <c r="T6" s="3175"/>
      <c r="U6" s="3176"/>
      <c r="V6" s="3177"/>
      <c r="W6" s="3177"/>
      <c r="X6" s="2950"/>
      <c r="Y6" s="3175"/>
      <c r="Z6" s="3176"/>
      <c r="AA6" s="3148"/>
      <c r="AB6" s="3148"/>
      <c r="AC6" s="3148"/>
    </row>
    <row r="7" spans="1:29" s="117" customFormat="1" ht="15.75" thickBot="1">
      <c r="A7" s="409" t="s">
        <v>2546</v>
      </c>
      <c r="B7" s="410"/>
      <c r="C7" s="411">
        <f>'数据-取费表'!B2</f>
        <v>43040</v>
      </c>
      <c r="D7" s="412">
        <v>100</v>
      </c>
      <c r="E7" s="413">
        <v>43040</v>
      </c>
      <c r="F7" s="414">
        <f>SUMIF(58:58,YEAR(E7)&amp;"-"&amp;MONTH(E7),59:59)</f>
        <v>100</v>
      </c>
      <c r="G7" s="413">
        <v>43040</v>
      </c>
      <c r="H7" s="412">
        <f>SUMIF(58:58,YEAR(G7)&amp;"-"&amp;MONTH(G7),59:59)</f>
        <v>100</v>
      </c>
      <c r="I7" s="413">
        <v>43040</v>
      </c>
      <c r="J7" s="412">
        <f>SUMIF(58:58,YEAR(I7)&amp;"-"&amp;MONTH(I7),59:59)</f>
        <v>100</v>
      </c>
      <c r="K7" s="2601"/>
      <c r="L7" s="1134"/>
      <c r="M7" s="1135"/>
      <c r="N7" s="1135"/>
      <c r="O7" s="1135"/>
      <c r="P7" s="3149" t="s">
        <v>2547</v>
      </c>
      <c r="Q7" s="3178"/>
      <c r="R7" s="769" t="s">
        <v>23</v>
      </c>
      <c r="S7" s="770">
        <f t="shared" ref="S7:S15" si="0">F7</f>
        <v>100</v>
      </c>
      <c r="T7" s="769" t="s">
        <v>23</v>
      </c>
      <c r="U7" s="770">
        <f t="shared" ref="U7:U15" si="1">H7</f>
        <v>100</v>
      </c>
      <c r="V7" s="769" t="s">
        <v>23</v>
      </c>
      <c r="W7" s="770">
        <f t="shared" ref="W7:W15" si="2">J7</f>
        <v>100</v>
      </c>
      <c r="X7" s="771"/>
      <c r="Y7" s="3149" t="s">
        <v>2547</v>
      </c>
      <c r="Z7" s="3150"/>
      <c r="AA7" s="772">
        <f>D7/F7</f>
        <v>1</v>
      </c>
      <c r="AB7" s="772">
        <f>D7/H7</f>
        <v>1</v>
      </c>
      <c r="AC7" s="772">
        <f>D7/J7</f>
        <v>1</v>
      </c>
    </row>
    <row r="8" spans="1:29" s="117" customFormat="1" ht="15.75" thickBot="1">
      <c r="A8" s="409" t="s">
        <v>2548</v>
      </c>
      <c r="B8" s="410"/>
      <c r="C8" s="415" t="s">
        <v>2549</v>
      </c>
      <c r="D8" s="412">
        <v>100</v>
      </c>
      <c r="E8" s="2602" t="s">
        <v>3128</v>
      </c>
      <c r="F8" s="414">
        <f>SUMIF(61:61,E8,62:62)-SUMIF(61:61,C8,62:62)+100</f>
        <v>100</v>
      </c>
      <c r="G8" s="415" t="s">
        <v>3128</v>
      </c>
      <c r="H8" s="412">
        <f>SUMIF(61:61,G8,62:62)-SUMIF(61:61,C8,62:62)+100</f>
        <v>100</v>
      </c>
      <c r="I8" s="2602" t="s">
        <v>3128</v>
      </c>
      <c r="J8" s="412">
        <f>SUMIF(61:61,I8,62:62)-SUMIF(61:61,C8,62:62)+100</f>
        <v>100</v>
      </c>
      <c r="K8" s="2601"/>
      <c r="L8" s="1134"/>
      <c r="M8" s="1135"/>
      <c r="N8" s="1135"/>
      <c r="O8" s="1135"/>
      <c r="P8" s="3149" t="s">
        <v>2550</v>
      </c>
      <c r="Q8" s="3150"/>
      <c r="R8" s="769" t="s">
        <v>23</v>
      </c>
      <c r="S8" s="770">
        <f t="shared" si="0"/>
        <v>100</v>
      </c>
      <c r="T8" s="769" t="s">
        <v>23</v>
      </c>
      <c r="U8" s="770">
        <f t="shared" si="1"/>
        <v>100</v>
      </c>
      <c r="V8" s="769" t="s">
        <v>23</v>
      </c>
      <c r="W8" s="770">
        <f t="shared" si="2"/>
        <v>100</v>
      </c>
      <c r="X8" s="771"/>
      <c r="Y8" s="3149" t="s">
        <v>2550</v>
      </c>
      <c r="Z8" s="3150"/>
      <c r="AA8" s="772">
        <f t="shared" ref="AA8:AA19" si="3">D8/F8</f>
        <v>1</v>
      </c>
      <c r="AB8" s="772">
        <f t="shared" ref="AB8:AB19" si="4">D8/H8</f>
        <v>1</v>
      </c>
      <c r="AC8" s="772">
        <f t="shared" ref="AC8:AC19" si="5">D8/J8</f>
        <v>1</v>
      </c>
    </row>
    <row r="9" spans="1:29" s="117" customFormat="1">
      <c r="A9" s="416" t="s">
        <v>2551</v>
      </c>
      <c r="B9" s="71" t="s">
        <v>2552</v>
      </c>
      <c r="C9" s="2942" t="s">
        <v>3129</v>
      </c>
      <c r="D9" s="135">
        <v>100</v>
      </c>
      <c r="E9" s="418" t="s">
        <v>3046</v>
      </c>
      <c r="F9" s="419">
        <f>SUMIF(63:63,E9,64:64)-SUMIF(63:63,C9,64:64)+100</f>
        <v>100</v>
      </c>
      <c r="G9" s="420" t="s">
        <v>3046</v>
      </c>
      <c r="H9" s="135">
        <f>SUMIF(63:63,G9,64:64)-SUMIF(63:63,C9,64:64)+100</f>
        <v>100</v>
      </c>
      <c r="I9" s="420" t="s">
        <v>3046</v>
      </c>
      <c r="J9" s="135">
        <f>SUMIF(63:63,I9,64:64)-SUMIF(63:63,C9,64:64)+100</f>
        <v>100</v>
      </c>
      <c r="K9" s="2601"/>
      <c r="L9" s="1134"/>
      <c r="M9" s="1135"/>
      <c r="N9" s="1135"/>
      <c r="O9" s="1135"/>
      <c r="P9" s="3164" t="s">
        <v>2553</v>
      </c>
      <c r="Q9" s="2945" t="str">
        <f t="shared" ref="Q9:Q15" si="6">B9</f>
        <v>用途</v>
      </c>
      <c r="R9" s="769" t="s">
        <v>17</v>
      </c>
      <c r="S9" s="770">
        <f t="shared" si="0"/>
        <v>100</v>
      </c>
      <c r="T9" s="769" t="s">
        <v>17</v>
      </c>
      <c r="U9" s="770">
        <f t="shared" si="1"/>
        <v>100</v>
      </c>
      <c r="V9" s="769" t="s">
        <v>17</v>
      </c>
      <c r="W9" s="770">
        <f t="shared" si="2"/>
        <v>100</v>
      </c>
      <c r="X9" s="771"/>
      <c r="Y9" s="3026" t="s">
        <v>2554</v>
      </c>
      <c r="Z9" s="2946" t="str">
        <f t="shared" ref="Z9:Z15" si="7">Q9</f>
        <v>用途</v>
      </c>
      <c r="AA9" s="772">
        <f t="shared" si="3"/>
        <v>1</v>
      </c>
      <c r="AB9" s="772">
        <f t="shared" si="4"/>
        <v>1</v>
      </c>
      <c r="AC9" s="772">
        <f t="shared" si="5"/>
        <v>1</v>
      </c>
    </row>
    <row r="10" spans="1:29" s="428" customFormat="1" ht="27">
      <c r="A10" s="422"/>
      <c r="B10" s="2947" t="s">
        <v>2555</v>
      </c>
      <c r="C10" s="424" t="s">
        <v>3130</v>
      </c>
      <c r="D10" s="136">
        <v>100</v>
      </c>
      <c r="E10" s="425" t="s">
        <v>3153</v>
      </c>
      <c r="F10" s="426">
        <f>SUMIF(65:65,E10,66:66)-SUMIF(65:65,C10,66:66)+100</f>
        <v>98</v>
      </c>
      <c r="G10" s="424" t="s">
        <v>3153</v>
      </c>
      <c r="H10" s="136">
        <f>SUMIF(65:65,G10,66:66)-SUMIF(65:65,C10,66:66)+100</f>
        <v>98</v>
      </c>
      <c r="I10" s="424" t="s">
        <v>3153</v>
      </c>
      <c r="J10" s="136">
        <f>SUMIF(65:65,I10,66:66)-SUMIF(65:65,C10,66:66)+100</f>
        <v>98</v>
      </c>
      <c r="K10" s="427">
        <v>2</v>
      </c>
      <c r="L10" s="1137"/>
      <c r="M10" s="1138"/>
      <c r="N10" s="1138"/>
      <c r="O10" s="1138"/>
      <c r="P10" s="3164"/>
      <c r="Q10" s="2945" t="str">
        <f t="shared" si="6"/>
        <v>土地使用年限（年）</v>
      </c>
      <c r="R10" s="769" t="s">
        <v>17</v>
      </c>
      <c r="S10" s="770">
        <f t="shared" si="0"/>
        <v>98</v>
      </c>
      <c r="T10" s="769" t="s">
        <v>17</v>
      </c>
      <c r="U10" s="770">
        <f t="shared" si="1"/>
        <v>98</v>
      </c>
      <c r="V10" s="769" t="s">
        <v>17</v>
      </c>
      <c r="W10" s="770">
        <f t="shared" si="2"/>
        <v>98</v>
      </c>
      <c r="X10" s="771"/>
      <c r="Y10" s="3026"/>
      <c r="Z10" s="2946" t="str">
        <f t="shared" si="7"/>
        <v>土地使用年限（年）</v>
      </c>
      <c r="AA10" s="772">
        <f t="shared" si="3"/>
        <v>1.0204081632653061</v>
      </c>
      <c r="AB10" s="772">
        <f t="shared" si="4"/>
        <v>1.0204081632653061</v>
      </c>
      <c r="AC10" s="772">
        <f t="shared" si="5"/>
        <v>1.0204081632653061</v>
      </c>
    </row>
    <row r="11" spans="1:29" ht="15">
      <c r="A11" s="429"/>
      <c r="B11" s="2947" t="s">
        <v>2556</v>
      </c>
      <c r="C11" s="430"/>
      <c r="D11" s="136">
        <v>100</v>
      </c>
      <c r="E11" s="431"/>
      <c r="F11" s="426">
        <f>LOOKUP(E11,68:68,69:69)-LOOKUP(C11,68:68,69:69)+100</f>
        <v>100</v>
      </c>
      <c r="G11" s="430"/>
      <c r="H11" s="136">
        <f>LOOKUP(G11,68:68,69:69)-LOOKUP(C11,68:68,69:69)+100</f>
        <v>100</v>
      </c>
      <c r="I11" s="430"/>
      <c r="J11" s="136">
        <f>LOOKUP(I11,68:68,69:69)-LOOKUP(C11,68:68,69:69)+100</f>
        <v>100</v>
      </c>
      <c r="K11" s="427">
        <v>2</v>
      </c>
      <c r="L11" s="1140"/>
      <c r="M11" s="1133"/>
      <c r="N11" s="1133"/>
      <c r="O11" s="1133"/>
      <c r="P11" s="3164"/>
      <c r="Q11" s="2945" t="str">
        <f t="shared" si="6"/>
        <v>容积率</v>
      </c>
      <c r="R11" s="769" t="s">
        <v>21</v>
      </c>
      <c r="S11" s="770">
        <f t="shared" si="0"/>
        <v>100</v>
      </c>
      <c r="T11" s="769" t="s">
        <v>21</v>
      </c>
      <c r="U11" s="770">
        <f t="shared" si="1"/>
        <v>100</v>
      </c>
      <c r="V11" s="769" t="s">
        <v>21</v>
      </c>
      <c r="W11" s="770">
        <f t="shared" si="2"/>
        <v>100</v>
      </c>
      <c r="X11" s="771"/>
      <c r="Y11" s="3026"/>
      <c r="Z11" s="2946" t="str">
        <f t="shared" si="7"/>
        <v>容积率</v>
      </c>
      <c r="AA11" s="772">
        <f t="shared" si="3"/>
        <v>1</v>
      </c>
      <c r="AB11" s="772">
        <f t="shared" si="4"/>
        <v>1</v>
      </c>
      <c r="AC11" s="772">
        <f t="shared" si="5"/>
        <v>1</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4"/>
      <c r="M12" s="1135"/>
      <c r="N12" s="1135"/>
      <c r="O12" s="1135"/>
      <c r="P12" s="3164"/>
      <c r="Q12" s="2945">
        <f t="shared" si="6"/>
        <v>111</v>
      </c>
      <c r="R12" s="769" t="s">
        <v>21</v>
      </c>
      <c r="S12" s="770">
        <f t="shared" si="0"/>
        <v>100</v>
      </c>
      <c r="T12" s="769" t="s">
        <v>21</v>
      </c>
      <c r="U12" s="770">
        <f t="shared" si="1"/>
        <v>100</v>
      </c>
      <c r="V12" s="769" t="s">
        <v>21</v>
      </c>
      <c r="W12" s="770">
        <f t="shared" si="2"/>
        <v>100</v>
      </c>
      <c r="X12" s="771"/>
      <c r="Y12" s="3026"/>
      <c r="Z12" s="2946">
        <f t="shared" si="7"/>
        <v>111</v>
      </c>
      <c r="AA12" s="772">
        <f>D12/F12</f>
        <v>1</v>
      </c>
      <c r="AB12" s="772">
        <f>D12/H12</f>
        <v>1</v>
      </c>
      <c r="AC12" s="772">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2"/>
      <c r="M13" s="1133"/>
      <c r="N13" s="1133"/>
      <c r="O13" s="1133"/>
      <c r="P13" s="3164"/>
      <c r="Q13" s="2945">
        <f t="shared" si="6"/>
        <v>111</v>
      </c>
      <c r="R13" s="769" t="s">
        <v>21</v>
      </c>
      <c r="S13" s="770">
        <f t="shared" si="0"/>
        <v>100</v>
      </c>
      <c r="T13" s="769" t="s">
        <v>21</v>
      </c>
      <c r="U13" s="770">
        <f t="shared" si="1"/>
        <v>100</v>
      </c>
      <c r="V13" s="769" t="s">
        <v>21</v>
      </c>
      <c r="W13" s="770">
        <f t="shared" si="2"/>
        <v>100</v>
      </c>
      <c r="X13" s="771"/>
      <c r="Y13" s="3026"/>
      <c r="Z13" s="2946">
        <f t="shared" si="7"/>
        <v>111</v>
      </c>
      <c r="AA13" s="772">
        <f t="shared" si="3"/>
        <v>1</v>
      </c>
      <c r="AB13" s="772">
        <f t="shared" si="4"/>
        <v>1</v>
      </c>
      <c r="AC13" s="772">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2"/>
      <c r="M14" s="1133"/>
      <c r="N14" s="1133"/>
      <c r="O14" s="1133"/>
      <c r="P14" s="3164"/>
      <c r="Q14" s="2945">
        <f t="shared" si="6"/>
        <v>111</v>
      </c>
      <c r="R14" s="769" t="s">
        <v>21</v>
      </c>
      <c r="S14" s="770">
        <f t="shared" si="0"/>
        <v>100</v>
      </c>
      <c r="T14" s="769" t="s">
        <v>21</v>
      </c>
      <c r="U14" s="770">
        <f t="shared" si="1"/>
        <v>100</v>
      </c>
      <c r="V14" s="769" t="s">
        <v>21</v>
      </c>
      <c r="W14" s="770">
        <f t="shared" si="2"/>
        <v>100</v>
      </c>
      <c r="X14" s="771"/>
      <c r="Y14" s="3026"/>
      <c r="Z14" s="2946">
        <f t="shared" si="7"/>
        <v>111</v>
      </c>
      <c r="AA14" s="772">
        <f t="shared" si="3"/>
        <v>1</v>
      </c>
      <c r="AB14" s="772">
        <f t="shared" si="4"/>
        <v>1</v>
      </c>
      <c r="AC14" s="772">
        <f t="shared" si="5"/>
        <v>1</v>
      </c>
    </row>
    <row r="15" spans="1:29" ht="85.5">
      <c r="A15" s="441" t="s">
        <v>2557</v>
      </c>
      <c r="B15" s="69" t="s">
        <v>2084</v>
      </c>
      <c r="C15" s="2606" t="str">
        <f>估价对象房地状况!C3</f>
        <v>估价对象周边居住用地比例大、居住小区规模和社区发展完善，综合评价居住社区成熟度好</v>
      </c>
      <c r="D15" s="442">
        <v>100</v>
      </c>
      <c r="E15" s="445"/>
      <c r="F15" s="442">
        <f>SUMIF(76:76,E16,77:77)-SUMIF(76:76,C16,77:77)+100</f>
        <v>100</v>
      </c>
      <c r="G15" s="443"/>
      <c r="H15" s="442">
        <f>SUMIF(76:76,G16,77:77)-SUMIF(76:76,C16,77:77)+100</f>
        <v>100</v>
      </c>
      <c r="I15" s="443"/>
      <c r="J15" s="442">
        <f>SUMIF(76:76,I16,77:77)-SUMIF(76:76,C16,77:77)+100</f>
        <v>100</v>
      </c>
      <c r="K15" s="446">
        <v>2</v>
      </c>
      <c r="L15" s="1142"/>
      <c r="M15" s="1133"/>
      <c r="N15" s="1133"/>
      <c r="O15" s="1133"/>
      <c r="P15" s="3191" t="s">
        <v>2558</v>
      </c>
      <c r="Q15" s="2948" t="str">
        <f t="shared" si="6"/>
        <v>居住社区成熟度</v>
      </c>
      <c r="R15" s="773" t="s">
        <v>21</v>
      </c>
      <c r="S15" s="774">
        <f t="shared" si="0"/>
        <v>100</v>
      </c>
      <c r="T15" s="773" t="s">
        <v>21</v>
      </c>
      <c r="U15" s="774">
        <f t="shared" si="1"/>
        <v>100</v>
      </c>
      <c r="V15" s="773" t="s">
        <v>21</v>
      </c>
      <c r="W15" s="774">
        <f t="shared" si="2"/>
        <v>100</v>
      </c>
      <c r="X15" s="2950"/>
      <c r="Y15" s="3184" t="s">
        <v>2558</v>
      </c>
      <c r="Z15" s="2951" t="str">
        <f t="shared" si="7"/>
        <v>居住社区成熟度</v>
      </c>
      <c r="AA15" s="2949">
        <f t="shared" si="3"/>
        <v>1</v>
      </c>
      <c r="AB15" s="2949">
        <f t="shared" si="4"/>
        <v>1</v>
      </c>
      <c r="AC15" s="2949">
        <f t="shared" si="5"/>
        <v>1</v>
      </c>
    </row>
    <row r="16" spans="1:29" ht="15">
      <c r="A16" s="429"/>
      <c r="B16" s="447"/>
      <c r="C16" s="448" t="s">
        <v>3131</v>
      </c>
      <c r="D16" s="449"/>
      <c r="E16" s="2607" t="s">
        <v>3131</v>
      </c>
      <c r="F16" s="449"/>
      <c r="G16" s="2608" t="s">
        <v>3131</v>
      </c>
      <c r="H16" s="451"/>
      <c r="I16" s="2608" t="s">
        <v>3131</v>
      </c>
      <c r="J16" s="449"/>
      <c r="K16" s="2609"/>
      <c r="L16" s="1142"/>
      <c r="M16" s="1133"/>
      <c r="N16" s="1133"/>
      <c r="O16" s="1133"/>
      <c r="P16" s="3192"/>
      <c r="Q16" s="2948"/>
      <c r="R16" s="773"/>
      <c r="S16" s="774"/>
      <c r="T16" s="773"/>
      <c r="U16" s="774"/>
      <c r="V16" s="773"/>
      <c r="W16" s="774"/>
      <c r="X16" s="2950"/>
      <c r="Y16" s="3185"/>
      <c r="Z16" s="2951"/>
      <c r="AA16" s="2949">
        <v>1</v>
      </c>
      <c r="AB16" s="2949">
        <v>1</v>
      </c>
      <c r="AC16" s="2949">
        <v>1</v>
      </c>
    </row>
    <row r="17" spans="1:29" ht="71.25">
      <c r="A17" s="429"/>
      <c r="B17" s="452" t="s">
        <v>2095</v>
      </c>
      <c r="C17" s="2610" t="str">
        <f>估价对象房地状况!C6</f>
        <v>估价对象周边道路通达、公共交通通达、停车便捷，综合评价交通便捷度好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v>2</v>
      </c>
      <c r="L17" s="1142"/>
      <c r="M17" s="1133"/>
      <c r="N17" s="1133"/>
      <c r="O17" s="1133"/>
      <c r="P17" s="3192"/>
      <c r="Q17" s="2948" t="str">
        <f>B17</f>
        <v>交通便捷度</v>
      </c>
      <c r="R17" s="773" t="s">
        <v>21</v>
      </c>
      <c r="S17" s="774">
        <f>F17</f>
        <v>100</v>
      </c>
      <c r="T17" s="773" t="s">
        <v>21</v>
      </c>
      <c r="U17" s="774">
        <f>H17</f>
        <v>100</v>
      </c>
      <c r="V17" s="773" t="s">
        <v>21</v>
      </c>
      <c r="W17" s="774">
        <f>J17</f>
        <v>100</v>
      </c>
      <c r="X17" s="2950"/>
      <c r="Y17" s="3185"/>
      <c r="Z17" s="2951" t="str">
        <f>Q17</f>
        <v>交通便捷度</v>
      </c>
      <c r="AA17" s="2949">
        <f t="shared" si="3"/>
        <v>1</v>
      </c>
      <c r="AB17" s="2949">
        <f t="shared" si="4"/>
        <v>1</v>
      </c>
      <c r="AC17" s="2949">
        <f t="shared" si="5"/>
        <v>1</v>
      </c>
    </row>
    <row r="18" spans="1:29" ht="15">
      <c r="A18" s="429"/>
      <c r="B18" s="457"/>
      <c r="C18" s="2611" t="s">
        <v>3131</v>
      </c>
      <c r="D18" s="451"/>
      <c r="E18" s="2612" t="s">
        <v>3131</v>
      </c>
      <c r="F18" s="451"/>
      <c r="G18" s="2613" t="s">
        <v>3131</v>
      </c>
      <c r="H18" s="449"/>
      <c r="I18" s="2613" t="s">
        <v>3131</v>
      </c>
      <c r="J18" s="449"/>
      <c r="K18" s="2609"/>
      <c r="L18" s="1142"/>
      <c r="M18" s="1133"/>
      <c r="N18" s="1133"/>
      <c r="O18" s="1133"/>
      <c r="P18" s="3192"/>
      <c r="Q18" s="2948"/>
      <c r="R18" s="773"/>
      <c r="S18" s="774"/>
      <c r="T18" s="773"/>
      <c r="U18" s="774"/>
      <c r="V18" s="773"/>
      <c r="W18" s="774"/>
      <c r="X18" s="2950"/>
      <c r="Y18" s="3185"/>
      <c r="Z18" s="2951"/>
      <c r="AA18" s="2949">
        <v>1</v>
      </c>
      <c r="AB18" s="2949">
        <v>1</v>
      </c>
      <c r="AC18" s="2949">
        <v>1</v>
      </c>
    </row>
    <row r="19" spans="1:29" ht="42.75">
      <c r="A19" s="429"/>
      <c r="B19" s="452" t="s">
        <v>2093</v>
      </c>
      <c r="C19" s="2610"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v>3</v>
      </c>
      <c r="L19" s="1142"/>
      <c r="M19" s="1133"/>
      <c r="N19" s="1133"/>
      <c r="O19" s="1133"/>
      <c r="P19" s="3192"/>
      <c r="Q19" s="2948" t="str">
        <f>B19</f>
        <v>公共配套设施</v>
      </c>
      <c r="R19" s="773" t="s">
        <v>21</v>
      </c>
      <c r="S19" s="774">
        <f>F19</f>
        <v>100</v>
      </c>
      <c r="T19" s="773" t="s">
        <v>21</v>
      </c>
      <c r="U19" s="774">
        <f>H19</f>
        <v>100</v>
      </c>
      <c r="V19" s="773" t="s">
        <v>21</v>
      </c>
      <c r="W19" s="774">
        <f>J19</f>
        <v>100</v>
      </c>
      <c r="X19" s="2950"/>
      <c r="Y19" s="3185"/>
      <c r="Z19" s="2951" t="str">
        <f>Q19</f>
        <v>公共配套设施</v>
      </c>
      <c r="AA19" s="2949">
        <f t="shared" si="3"/>
        <v>1</v>
      </c>
      <c r="AB19" s="2949">
        <f t="shared" si="4"/>
        <v>1</v>
      </c>
      <c r="AC19" s="2949">
        <f t="shared" si="5"/>
        <v>1</v>
      </c>
    </row>
    <row r="20" spans="1:29" ht="15">
      <c r="A20" s="429"/>
      <c r="B20" s="457"/>
      <c r="C20" s="448" t="s">
        <v>3131</v>
      </c>
      <c r="D20" s="449"/>
      <c r="E20" s="2607" t="s">
        <v>3131</v>
      </c>
      <c r="F20" s="449"/>
      <c r="G20" s="2608" t="s">
        <v>3131</v>
      </c>
      <c r="H20" s="449"/>
      <c r="I20" s="2608" t="s">
        <v>3131</v>
      </c>
      <c r="J20" s="449"/>
      <c r="K20" s="2609"/>
      <c r="L20" s="1142"/>
      <c r="M20" s="1133"/>
      <c r="N20" s="1133"/>
      <c r="O20" s="1133"/>
      <c r="P20" s="3192"/>
      <c r="Q20" s="2948"/>
      <c r="R20" s="773"/>
      <c r="S20" s="774"/>
      <c r="T20" s="773"/>
      <c r="U20" s="774"/>
      <c r="V20" s="773"/>
      <c r="W20" s="774"/>
      <c r="X20" s="2950"/>
      <c r="Y20" s="3185"/>
      <c r="Z20" s="2951"/>
      <c r="AA20" s="2949">
        <v>1</v>
      </c>
      <c r="AB20" s="2949">
        <v>1</v>
      </c>
      <c r="AC20" s="2949">
        <v>1</v>
      </c>
    </row>
    <row r="21" spans="1:29" ht="42.75">
      <c r="A21" s="429"/>
      <c r="B21" s="1386" t="s">
        <v>2096</v>
      </c>
      <c r="C21" s="2610" t="str">
        <f>估价对象房地状况!C8</f>
        <v>估价对象所在区域基础设施水平七通</v>
      </c>
      <c r="D21" s="451">
        <v>100</v>
      </c>
      <c r="E21" s="460"/>
      <c r="F21" s="456">
        <f>SUMIF(82:82,E22,83:83)-SUMIF(82:82,C22,83:83)+100</f>
        <v>100</v>
      </c>
      <c r="G21" s="458"/>
      <c r="H21" s="451">
        <f>SUMIF(82:82,G22,83:83)-SUMIF(82:82,C22,83:83)+100</f>
        <v>100</v>
      </c>
      <c r="I21" s="458"/>
      <c r="J21" s="451">
        <f>SUMIF(82:82,I22,83:83)-SUMIF(82:82,C22,83:83)+100</f>
        <v>100</v>
      </c>
      <c r="K21" s="446">
        <v>1</v>
      </c>
      <c r="L21" s="1142"/>
      <c r="M21" s="1133"/>
      <c r="N21" s="1133"/>
      <c r="O21" s="1133"/>
      <c r="P21" s="3192"/>
      <c r="Q21" s="2948" t="str">
        <f>B21</f>
        <v>基础设施水平</v>
      </c>
      <c r="R21" s="773" t="s">
        <v>17</v>
      </c>
      <c r="S21" s="774">
        <f>F21</f>
        <v>100</v>
      </c>
      <c r="T21" s="773" t="s">
        <v>17</v>
      </c>
      <c r="U21" s="774">
        <f>H21</f>
        <v>100</v>
      </c>
      <c r="V21" s="773" t="s">
        <v>17</v>
      </c>
      <c r="W21" s="774">
        <f>J21</f>
        <v>100</v>
      </c>
      <c r="X21" s="2950"/>
      <c r="Y21" s="3185"/>
      <c r="Z21" s="2951" t="str">
        <f>Q21</f>
        <v>基础设施水平</v>
      </c>
      <c r="AA21" s="2949">
        <f>D21/F21</f>
        <v>1</v>
      </c>
      <c r="AB21" s="2949">
        <f>D21/H21</f>
        <v>1</v>
      </c>
      <c r="AC21" s="2949">
        <f>D21/J21</f>
        <v>1</v>
      </c>
    </row>
    <row r="22" spans="1:29" ht="15">
      <c r="A22" s="429"/>
      <c r="B22" s="1386"/>
      <c r="C22" s="2611" t="s">
        <v>3126</v>
      </c>
      <c r="D22" s="449"/>
      <c r="E22" s="448" t="s">
        <v>3126</v>
      </c>
      <c r="F22" s="449"/>
      <c r="G22" s="2614" t="s">
        <v>3126</v>
      </c>
      <c r="H22" s="449"/>
      <c r="I22" s="448" t="s">
        <v>3126</v>
      </c>
      <c r="J22" s="449"/>
      <c r="K22" s="2615"/>
      <c r="L22" s="1142"/>
      <c r="M22" s="1133"/>
      <c r="N22" s="1133"/>
      <c r="O22" s="1133"/>
      <c r="P22" s="3192"/>
      <c r="Q22" s="2948"/>
      <c r="R22" s="773"/>
      <c r="S22" s="774"/>
      <c r="T22" s="773"/>
      <c r="U22" s="774"/>
      <c r="V22" s="773"/>
      <c r="W22" s="774"/>
      <c r="X22" s="2950"/>
      <c r="Y22" s="3185"/>
      <c r="Z22" s="2951"/>
      <c r="AA22" s="2949">
        <v>1</v>
      </c>
      <c r="AB22" s="2949">
        <v>1</v>
      </c>
      <c r="AC22" s="2949">
        <v>1</v>
      </c>
    </row>
    <row r="23" spans="1:29" ht="57">
      <c r="A23" s="429"/>
      <c r="B23" s="452" t="s">
        <v>2100</v>
      </c>
      <c r="C23" s="2610"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v>2</v>
      </c>
      <c r="L23" s="1142"/>
      <c r="M23" s="1133"/>
      <c r="N23" s="1133"/>
      <c r="O23" s="1133"/>
      <c r="P23" s="3192"/>
      <c r="Q23" s="2948" t="str">
        <f>B23</f>
        <v>自然及人文环境</v>
      </c>
      <c r="R23" s="773" t="s">
        <v>21</v>
      </c>
      <c r="S23" s="774">
        <f>F23</f>
        <v>100</v>
      </c>
      <c r="T23" s="773" t="s">
        <v>21</v>
      </c>
      <c r="U23" s="774">
        <f>H23</f>
        <v>100</v>
      </c>
      <c r="V23" s="773" t="s">
        <v>21</v>
      </c>
      <c r="W23" s="774">
        <f>J23</f>
        <v>100</v>
      </c>
      <c r="X23" s="2950"/>
      <c r="Y23" s="3185"/>
      <c r="Z23" s="2951" t="str">
        <f>Q23</f>
        <v>自然及人文环境</v>
      </c>
      <c r="AA23" s="2949">
        <f>D23/F23</f>
        <v>1</v>
      </c>
      <c r="AB23" s="2949">
        <f>D23/H23</f>
        <v>1</v>
      </c>
      <c r="AC23" s="2949">
        <f>D23/J23</f>
        <v>1</v>
      </c>
    </row>
    <row r="24" spans="1:29" ht="15">
      <c r="A24" s="429"/>
      <c r="B24" s="457"/>
      <c r="C24" s="448" t="s">
        <v>3132</v>
      </c>
      <c r="D24" s="449"/>
      <c r="E24" s="2607" t="s">
        <v>3132</v>
      </c>
      <c r="F24" s="449"/>
      <c r="G24" s="2608" t="s">
        <v>3132</v>
      </c>
      <c r="H24" s="449"/>
      <c r="I24" s="2608" t="s">
        <v>3132</v>
      </c>
      <c r="J24" s="449"/>
      <c r="K24" s="2609"/>
      <c r="L24" s="1142"/>
      <c r="M24" s="1133"/>
      <c r="N24" s="1133"/>
      <c r="O24" s="1133"/>
      <c r="P24" s="3192"/>
      <c r="Q24" s="2948"/>
      <c r="R24" s="773"/>
      <c r="S24" s="774"/>
      <c r="T24" s="773"/>
      <c r="U24" s="774"/>
      <c r="V24" s="773"/>
      <c r="W24" s="774"/>
      <c r="X24" s="2950"/>
      <c r="Y24" s="3185"/>
      <c r="Z24" s="2951"/>
      <c r="AA24" s="2949">
        <v>1</v>
      </c>
      <c r="AB24" s="2949">
        <v>1</v>
      </c>
      <c r="AC24" s="2949">
        <v>1</v>
      </c>
    </row>
    <row r="25" spans="1:29" ht="15">
      <c r="A25" s="429"/>
      <c r="B25" s="2947" t="s">
        <v>2559</v>
      </c>
      <c r="C25" s="461">
        <v>2</v>
      </c>
      <c r="D25" s="436">
        <v>100</v>
      </c>
      <c r="E25" s="2616">
        <v>3</v>
      </c>
      <c r="F25" s="436">
        <f>SUMIF(86:86,E25,87:87)-SUMIF(86:86,C25,87:87)+100</f>
        <v>101</v>
      </c>
      <c r="G25" s="2617">
        <v>3</v>
      </c>
      <c r="H25" s="436">
        <f>SUMIF(86:86,G25,87:87)-SUMIF(86:86,C25,87:87)+100</f>
        <v>101</v>
      </c>
      <c r="I25" s="2617">
        <v>7</v>
      </c>
      <c r="J25" s="436">
        <f>SUMIF(86:86,I25,87:87)-SUMIF(86:86,C25,87:87)+100</f>
        <v>105</v>
      </c>
      <c r="K25" s="427">
        <v>1</v>
      </c>
      <c r="L25" s="1142"/>
      <c r="M25" s="1133"/>
      <c r="N25" s="1133"/>
      <c r="O25" s="1133"/>
      <c r="P25" s="3192"/>
      <c r="Q25" s="2948" t="str">
        <f t="shared" ref="Q25:Q46" si="8">B25</f>
        <v>楼层-1</v>
      </c>
      <c r="R25" s="773" t="s">
        <v>21</v>
      </c>
      <c r="S25" s="774">
        <f t="shared" ref="S25:S46" si="9">F25</f>
        <v>101</v>
      </c>
      <c r="T25" s="773" t="s">
        <v>21</v>
      </c>
      <c r="U25" s="774">
        <f t="shared" ref="U25:U46" si="10">H25</f>
        <v>101</v>
      </c>
      <c r="V25" s="773" t="s">
        <v>21</v>
      </c>
      <c r="W25" s="774">
        <f t="shared" ref="W25:W46" si="11">J25</f>
        <v>105</v>
      </c>
      <c r="X25" s="2950"/>
      <c r="Y25" s="3185"/>
      <c r="Z25" s="2951" t="str">
        <f>Q25</f>
        <v>楼层-1</v>
      </c>
      <c r="AA25" s="2949">
        <f t="shared" ref="AA25:AA46" si="12">D25/F25</f>
        <v>0.99009900990099009</v>
      </c>
      <c r="AB25" s="2949">
        <f t="shared" ref="AB25:AB46" si="13">D25/H25</f>
        <v>0.99009900990099009</v>
      </c>
      <c r="AC25" s="2949">
        <f t="shared" ref="AC25:AC46" si="14">D25/J25</f>
        <v>0.95238095238095233</v>
      </c>
    </row>
    <row r="26" spans="1:29" ht="15">
      <c r="A26" s="429"/>
      <c r="B26" s="2947" t="s">
        <v>2560</v>
      </c>
      <c r="C26" s="461" t="s">
        <v>3103</v>
      </c>
      <c r="D26" s="436">
        <v>100</v>
      </c>
      <c r="E26" s="2616" t="s">
        <v>3096</v>
      </c>
      <c r="F26" s="436">
        <f>SUMIF(88:88,E26,89:89)-SUMIF(88:88,C26,89:89)+100</f>
        <v>108</v>
      </c>
      <c r="G26" s="2617" t="s">
        <v>3096</v>
      </c>
      <c r="H26" s="436">
        <f>SUMIF(88:88,G26,89:89)-SUMIF(88:88,C26,89:89)+100</f>
        <v>108</v>
      </c>
      <c r="I26" s="2617" t="s">
        <v>3096</v>
      </c>
      <c r="J26" s="436">
        <f>SUMIF(88:88,I26,89:89)-SUMIF(88:88,C26,89:89)+100</f>
        <v>108</v>
      </c>
      <c r="K26" s="427">
        <v>2</v>
      </c>
      <c r="L26" s="1142"/>
      <c r="M26" s="1133"/>
      <c r="N26" s="1133"/>
      <c r="O26" s="1133"/>
      <c r="P26" s="3192"/>
      <c r="Q26" s="2948" t="str">
        <f t="shared" si="8"/>
        <v>朝向</v>
      </c>
      <c r="R26" s="773" t="s">
        <v>21</v>
      </c>
      <c r="S26" s="774">
        <f t="shared" si="9"/>
        <v>108</v>
      </c>
      <c r="T26" s="773" t="s">
        <v>21</v>
      </c>
      <c r="U26" s="774">
        <f t="shared" si="10"/>
        <v>108</v>
      </c>
      <c r="V26" s="773" t="s">
        <v>21</v>
      </c>
      <c r="W26" s="774">
        <f t="shared" si="11"/>
        <v>108</v>
      </c>
      <c r="X26" s="2950"/>
      <c r="Y26" s="3185"/>
      <c r="Z26" s="2951" t="str">
        <f>Q26</f>
        <v>朝向</v>
      </c>
      <c r="AA26" s="2949">
        <f t="shared" si="12"/>
        <v>0.92592592592592593</v>
      </c>
      <c r="AB26" s="2949">
        <f t="shared" si="13"/>
        <v>0.92592592592592593</v>
      </c>
      <c r="AC26" s="2949">
        <f t="shared" si="14"/>
        <v>0.92592592592592593</v>
      </c>
    </row>
    <row r="27" spans="1:29" s="117" customFormat="1" ht="15">
      <c r="A27" s="432"/>
      <c r="B27" s="2953" t="s">
        <v>3163</v>
      </c>
      <c r="C27" s="2954" t="s">
        <v>3164</v>
      </c>
      <c r="D27" s="463">
        <v>100</v>
      </c>
      <c r="E27" s="2955" t="s">
        <v>3164</v>
      </c>
      <c r="F27" s="463">
        <f>SUMIF(90:90,E27,91:91)-SUMIF(90:90,C27,91:91)+100</f>
        <v>100</v>
      </c>
      <c r="G27" s="2956" t="s">
        <v>3165</v>
      </c>
      <c r="H27" s="463">
        <f>SUMIF(90:90,G27,91:91)-SUMIF(90:90,C27,91:91)+100</f>
        <v>100</v>
      </c>
      <c r="I27" s="2956" t="s">
        <v>3166</v>
      </c>
      <c r="J27" s="463">
        <f>SUMIF(90:90,I27,91:91)-SUMIF(90:90,C27,91:91)+100</f>
        <v>100</v>
      </c>
      <c r="K27" s="2604"/>
      <c r="L27" s="1134"/>
      <c r="M27" s="1135"/>
      <c r="N27" s="1135"/>
      <c r="O27" s="1135"/>
      <c r="P27" s="3192"/>
      <c r="Q27" s="2945" t="str">
        <f t="shared" si="8"/>
        <v>楼层</v>
      </c>
      <c r="R27" s="769" t="s">
        <v>21</v>
      </c>
      <c r="S27" s="770">
        <f t="shared" si="9"/>
        <v>100</v>
      </c>
      <c r="T27" s="769" t="s">
        <v>21</v>
      </c>
      <c r="U27" s="770">
        <f t="shared" si="10"/>
        <v>100</v>
      </c>
      <c r="V27" s="769" t="s">
        <v>21</v>
      </c>
      <c r="W27" s="770">
        <f t="shared" si="11"/>
        <v>100</v>
      </c>
      <c r="X27" s="771"/>
      <c r="Y27" s="3185"/>
      <c r="Z27" s="2946" t="str">
        <f>Q27</f>
        <v>楼层</v>
      </c>
      <c r="AA27" s="2949">
        <f t="shared" si="12"/>
        <v>1</v>
      </c>
      <c r="AB27" s="2949">
        <f t="shared" si="13"/>
        <v>1</v>
      </c>
      <c r="AC27" s="2949">
        <f t="shared" si="14"/>
        <v>1</v>
      </c>
    </row>
    <row r="28" spans="1:29" ht="15">
      <c r="A28" s="429"/>
      <c r="B28" s="1388">
        <v>111</v>
      </c>
      <c r="C28" s="435"/>
      <c r="D28" s="436">
        <v>100</v>
      </c>
      <c r="E28" s="435"/>
      <c r="F28" s="436">
        <f>SUMIF(92:92,E28,93:93)-SUMIF(92:92,C28,93:93)+100</f>
        <v>100</v>
      </c>
      <c r="G28" s="2618"/>
      <c r="H28" s="436">
        <f>SUMIF(92:92,G28,93:93)-SUMIF(92:92,C28,93:93)+100</f>
        <v>100</v>
      </c>
      <c r="I28" s="435"/>
      <c r="J28" s="436">
        <f>SUMIF(92:92,I28,93:93)-SUMIF(92:92,C28,93:93)+100</f>
        <v>100</v>
      </c>
      <c r="K28" s="2604"/>
      <c r="L28" s="1142"/>
      <c r="M28" s="1133"/>
      <c r="N28" s="1133"/>
      <c r="O28" s="1133"/>
      <c r="P28" s="3192"/>
      <c r="Q28" s="2948">
        <f t="shared" si="8"/>
        <v>111</v>
      </c>
      <c r="R28" s="773" t="s">
        <v>21</v>
      </c>
      <c r="S28" s="774">
        <f t="shared" si="9"/>
        <v>100</v>
      </c>
      <c r="T28" s="773" t="s">
        <v>21</v>
      </c>
      <c r="U28" s="774">
        <f t="shared" si="10"/>
        <v>100</v>
      </c>
      <c r="V28" s="773" t="s">
        <v>21</v>
      </c>
      <c r="W28" s="774">
        <f t="shared" si="11"/>
        <v>100</v>
      </c>
      <c r="X28" s="2950"/>
      <c r="Y28" s="3185"/>
      <c r="Z28" s="2951">
        <f t="shared" ref="Z28:Z46" si="15">Q28</f>
        <v>111</v>
      </c>
      <c r="AA28" s="2949">
        <f t="shared" si="12"/>
        <v>1</v>
      </c>
      <c r="AB28" s="2949">
        <f t="shared" si="13"/>
        <v>1</v>
      </c>
      <c r="AC28" s="2949">
        <f t="shared" si="14"/>
        <v>1</v>
      </c>
    </row>
    <row r="29" spans="1:29" ht="15">
      <c r="A29" s="429"/>
      <c r="B29" s="1388">
        <v>111</v>
      </c>
      <c r="C29" s="435"/>
      <c r="D29" s="436">
        <v>100</v>
      </c>
      <c r="E29" s="435"/>
      <c r="F29" s="436">
        <f>SUMIF(94:94,E29,95:95)-SUMIF(94:94,C29,95:95)+100</f>
        <v>100</v>
      </c>
      <c r="G29" s="2618"/>
      <c r="H29" s="436">
        <f>SUMIF(94:94,G29,95:95)-SUMIF(94:94,C29,95:95)+100</f>
        <v>100</v>
      </c>
      <c r="I29" s="435"/>
      <c r="J29" s="436">
        <f>SUMIF(94:94,I29,95:95)-SUMIF(94:94,C29,95:95)+100</f>
        <v>100</v>
      </c>
      <c r="K29" s="2604"/>
      <c r="L29" s="1142"/>
      <c r="M29" s="1133"/>
      <c r="N29" s="1133"/>
      <c r="O29" s="1133"/>
      <c r="P29" s="3192"/>
      <c r="Q29" s="2948">
        <f t="shared" si="8"/>
        <v>111</v>
      </c>
      <c r="R29" s="773" t="s">
        <v>21</v>
      </c>
      <c r="S29" s="774">
        <f t="shared" si="9"/>
        <v>100</v>
      </c>
      <c r="T29" s="773" t="s">
        <v>21</v>
      </c>
      <c r="U29" s="774">
        <f t="shared" si="10"/>
        <v>100</v>
      </c>
      <c r="V29" s="773" t="s">
        <v>21</v>
      </c>
      <c r="W29" s="774">
        <f t="shared" si="11"/>
        <v>100</v>
      </c>
      <c r="X29" s="2950"/>
      <c r="Y29" s="3185"/>
      <c r="Z29" s="2951">
        <f t="shared" si="15"/>
        <v>111</v>
      </c>
      <c r="AA29" s="2949">
        <f t="shared" si="12"/>
        <v>1</v>
      </c>
      <c r="AB29" s="2949">
        <f t="shared" si="13"/>
        <v>1</v>
      </c>
      <c r="AC29" s="2949">
        <f t="shared" si="14"/>
        <v>1</v>
      </c>
    </row>
    <row r="30" spans="1:29" ht="15">
      <c r="A30" s="429"/>
      <c r="B30" s="1388">
        <v>111</v>
      </c>
      <c r="C30" s="435"/>
      <c r="D30" s="436">
        <v>100</v>
      </c>
      <c r="E30" s="435"/>
      <c r="F30" s="436">
        <f>SUMIF(96:96,E30,97:97)-SUMIF(96:96,C30,97:97)+100</f>
        <v>100</v>
      </c>
      <c r="G30" s="2618"/>
      <c r="H30" s="436">
        <f>SUMIF(96:96,G30,97:97)-SUMIF(96:96,C30,97:97)+100</f>
        <v>100</v>
      </c>
      <c r="I30" s="435"/>
      <c r="J30" s="436">
        <f>SUMIF(96:96,I30,97:97)-SUMIF(96:96,C30,97:97)+100</f>
        <v>100</v>
      </c>
      <c r="K30" s="2604"/>
      <c r="L30" s="1142"/>
      <c r="M30" s="1133"/>
      <c r="N30" s="1133"/>
      <c r="O30" s="1133"/>
      <c r="P30" s="3192"/>
      <c r="Q30" s="2948">
        <f t="shared" si="8"/>
        <v>111</v>
      </c>
      <c r="R30" s="773" t="s">
        <v>21</v>
      </c>
      <c r="S30" s="774">
        <f t="shared" si="9"/>
        <v>100</v>
      </c>
      <c r="T30" s="773" t="s">
        <v>21</v>
      </c>
      <c r="U30" s="774">
        <f t="shared" si="10"/>
        <v>100</v>
      </c>
      <c r="V30" s="773" t="s">
        <v>21</v>
      </c>
      <c r="W30" s="774">
        <f t="shared" si="11"/>
        <v>100</v>
      </c>
      <c r="X30" s="2950"/>
      <c r="Y30" s="3185"/>
      <c r="Z30" s="2951">
        <f t="shared" si="15"/>
        <v>111</v>
      </c>
      <c r="AA30" s="2949">
        <f t="shared" si="12"/>
        <v>1</v>
      </c>
      <c r="AB30" s="2949">
        <f t="shared" si="13"/>
        <v>1</v>
      </c>
      <c r="AC30" s="2949">
        <f t="shared" si="14"/>
        <v>1</v>
      </c>
    </row>
    <row r="31" spans="1:29" ht="15.75" thickBot="1">
      <c r="A31" s="437"/>
      <c r="B31" s="1388">
        <v>111</v>
      </c>
      <c r="C31" s="438"/>
      <c r="D31" s="439">
        <v>100</v>
      </c>
      <c r="E31" s="438"/>
      <c r="F31" s="439">
        <f>SUMIF(98:98,E31,99:99)-SUMIF(98:98,C31,99:99)+100</f>
        <v>100</v>
      </c>
      <c r="G31" s="2619"/>
      <c r="H31" s="439">
        <f>SUMIF(98:98,G31,99:99)-SUMIF(98:98,C31,99:99)+100</f>
        <v>100</v>
      </c>
      <c r="I31" s="438"/>
      <c r="J31" s="439">
        <f>SUMIF(98:98,I31,99:99)-SUMIF(98:98,C31,99:99)+100</f>
        <v>100</v>
      </c>
      <c r="K31" s="2604"/>
      <c r="L31" s="1142"/>
      <c r="M31" s="1133"/>
      <c r="N31" s="1133"/>
      <c r="O31" s="1133"/>
      <c r="P31" s="3192"/>
      <c r="Q31" s="2948">
        <f t="shared" si="8"/>
        <v>111</v>
      </c>
      <c r="R31" s="773" t="s">
        <v>21</v>
      </c>
      <c r="S31" s="774">
        <f t="shared" si="9"/>
        <v>100</v>
      </c>
      <c r="T31" s="773" t="s">
        <v>21</v>
      </c>
      <c r="U31" s="774">
        <f t="shared" si="10"/>
        <v>100</v>
      </c>
      <c r="V31" s="773" t="s">
        <v>21</v>
      </c>
      <c r="W31" s="774">
        <f t="shared" si="11"/>
        <v>100</v>
      </c>
      <c r="X31" s="2950"/>
      <c r="Y31" s="3185"/>
      <c r="Z31" s="2951">
        <f t="shared" si="15"/>
        <v>111</v>
      </c>
      <c r="AA31" s="2949">
        <f t="shared" si="12"/>
        <v>1</v>
      </c>
      <c r="AB31" s="2949">
        <f t="shared" si="13"/>
        <v>1</v>
      </c>
      <c r="AC31" s="2949">
        <f t="shared" si="14"/>
        <v>1</v>
      </c>
    </row>
    <row r="32" spans="1:29" ht="15">
      <c r="A32" s="441" t="s">
        <v>2561</v>
      </c>
      <c r="B32" s="71" t="s">
        <v>2562</v>
      </c>
      <c r="C32" s="2620" t="s">
        <v>3110</v>
      </c>
      <c r="D32" s="468">
        <v>100</v>
      </c>
      <c r="E32" s="2621" t="s">
        <v>3110</v>
      </c>
      <c r="F32" s="462">
        <f>SUMIF(100:100,E32,101:101)-SUMIF(100:100,C32,101:101)+100</f>
        <v>100</v>
      </c>
      <c r="G32" s="2620" t="s">
        <v>3110</v>
      </c>
      <c r="H32" s="468">
        <f>SUMIF(100:100,G32,101:101)-SUMIF(100:100,C32,101:101)+100</f>
        <v>100</v>
      </c>
      <c r="I32" s="2621" t="s">
        <v>3110</v>
      </c>
      <c r="J32" s="436">
        <f>SUMIF(100:100,I32,101:101)-SUMIF(100:100,C32,101:101)+100</f>
        <v>100</v>
      </c>
      <c r="K32" s="427">
        <v>1</v>
      </c>
      <c r="L32" s="1142"/>
      <c r="M32" s="1133"/>
      <c r="N32" s="1133"/>
      <c r="O32" s="1133"/>
      <c r="P32" s="3186" t="s">
        <v>2563</v>
      </c>
      <c r="Q32" s="2948" t="str">
        <f t="shared" si="8"/>
        <v>建筑类型</v>
      </c>
      <c r="R32" s="773" t="s">
        <v>21</v>
      </c>
      <c r="S32" s="774">
        <f t="shared" si="9"/>
        <v>100</v>
      </c>
      <c r="T32" s="773" t="s">
        <v>21</v>
      </c>
      <c r="U32" s="774">
        <f t="shared" si="10"/>
        <v>100</v>
      </c>
      <c r="V32" s="773" t="s">
        <v>21</v>
      </c>
      <c r="W32" s="774">
        <f t="shared" si="11"/>
        <v>100</v>
      </c>
      <c r="X32" s="2950"/>
      <c r="Y32" s="3189" t="s">
        <v>2563</v>
      </c>
      <c r="Z32" s="2951" t="str">
        <f t="shared" si="15"/>
        <v>建筑类型</v>
      </c>
      <c r="AA32" s="2949">
        <f t="shared" si="12"/>
        <v>1</v>
      </c>
      <c r="AB32" s="2949">
        <f t="shared" si="13"/>
        <v>1</v>
      </c>
      <c r="AC32" s="2949">
        <f t="shared" si="14"/>
        <v>1</v>
      </c>
    </row>
    <row r="33" spans="1:29" s="472" customFormat="1" ht="15">
      <c r="A33" s="469"/>
      <c r="B33" s="2947" t="s">
        <v>2564</v>
      </c>
      <c r="C33" s="470">
        <f>'数据-基础表'!I13</f>
        <v>88.84</v>
      </c>
      <c r="D33" s="136">
        <v>100</v>
      </c>
      <c r="E33" s="431">
        <v>154</v>
      </c>
      <c r="F33" s="426">
        <f>LOOKUP(E33,103:103,104:104)-LOOKUP(C33,103:103,104:104)+100</f>
        <v>98</v>
      </c>
      <c r="G33" s="430">
        <v>145</v>
      </c>
      <c r="H33" s="136">
        <f>LOOKUP(G33,103:103,104:104)-LOOKUP(C33,103:103,104:104)+100</f>
        <v>98</v>
      </c>
      <c r="I33" s="431">
        <v>154</v>
      </c>
      <c r="J33" s="136">
        <f>LOOKUP(I33,103:103,104:104)-LOOKUP(C33,103:103,104:104)+100</f>
        <v>98</v>
      </c>
      <c r="K33" s="2604"/>
      <c r="L33" s="1140"/>
      <c r="M33" s="1143"/>
      <c r="N33" s="1143"/>
      <c r="O33" s="1143"/>
      <c r="P33" s="3187"/>
      <c r="Q33" s="775" t="str">
        <f t="shared" si="8"/>
        <v>项目建筑规模</v>
      </c>
      <c r="R33" s="776" t="s">
        <v>21</v>
      </c>
      <c r="S33" s="777">
        <f t="shared" si="9"/>
        <v>98</v>
      </c>
      <c r="T33" s="776" t="s">
        <v>21</v>
      </c>
      <c r="U33" s="777">
        <f t="shared" si="10"/>
        <v>98</v>
      </c>
      <c r="V33" s="776" t="s">
        <v>21</v>
      </c>
      <c r="W33" s="777">
        <f t="shared" si="11"/>
        <v>98</v>
      </c>
      <c r="X33" s="778"/>
      <c r="Y33" s="3189"/>
      <c r="Z33" s="779" t="str">
        <f t="shared" si="15"/>
        <v>项目建筑规模</v>
      </c>
      <c r="AA33" s="2949">
        <f t="shared" si="12"/>
        <v>1.0204081632653061</v>
      </c>
      <c r="AB33" s="2949">
        <f t="shared" si="13"/>
        <v>1.0204081632653061</v>
      </c>
      <c r="AC33" s="2949">
        <f t="shared" si="14"/>
        <v>1.0204081632653061</v>
      </c>
    </row>
    <row r="34" spans="1:29" ht="15">
      <c r="A34" s="473"/>
      <c r="B34" s="2947" t="s">
        <v>2565</v>
      </c>
      <c r="C34" s="2622" t="s">
        <v>3112</v>
      </c>
      <c r="D34" s="436">
        <v>100</v>
      </c>
      <c r="E34" s="2623" t="s">
        <v>3112</v>
      </c>
      <c r="F34" s="462">
        <f>SUMIF(105:105,E34,106:106)-SUMIF(105:105,C34,106:106)+100</f>
        <v>100</v>
      </c>
      <c r="G34" s="2622" t="s">
        <v>3112</v>
      </c>
      <c r="H34" s="436">
        <f>SUMIF(105:105,G34,106:106)-SUMIF(105:105,C34,106:106)+100</f>
        <v>100</v>
      </c>
      <c r="I34" s="2623" t="s">
        <v>3112</v>
      </c>
      <c r="J34" s="436">
        <f>SUMIF(105:105,I34,106:106)-SUMIF(105:105,C34,106:106)+100</f>
        <v>100</v>
      </c>
      <c r="K34" s="427">
        <v>2</v>
      </c>
      <c r="L34" s="1142"/>
      <c r="M34" s="1133"/>
      <c r="N34" s="1133"/>
      <c r="O34" s="1133"/>
      <c r="P34" s="3187"/>
      <c r="Q34" s="2948" t="str">
        <f t="shared" si="8"/>
        <v>建筑结构</v>
      </c>
      <c r="R34" s="773" t="s">
        <v>21</v>
      </c>
      <c r="S34" s="774">
        <f t="shared" si="9"/>
        <v>100</v>
      </c>
      <c r="T34" s="773" t="s">
        <v>21</v>
      </c>
      <c r="U34" s="774">
        <f t="shared" si="10"/>
        <v>100</v>
      </c>
      <c r="V34" s="773" t="s">
        <v>21</v>
      </c>
      <c r="W34" s="774">
        <f t="shared" si="11"/>
        <v>100</v>
      </c>
      <c r="X34" s="2950"/>
      <c r="Y34" s="3189"/>
      <c r="Z34" s="2951" t="str">
        <f t="shared" si="15"/>
        <v>建筑结构</v>
      </c>
      <c r="AA34" s="2949">
        <f t="shared" si="12"/>
        <v>1</v>
      </c>
      <c r="AB34" s="2949">
        <f t="shared" si="13"/>
        <v>1</v>
      </c>
      <c r="AC34" s="2949">
        <f t="shared" si="14"/>
        <v>1</v>
      </c>
    </row>
    <row r="35" spans="1:29" ht="15">
      <c r="A35" s="473"/>
      <c r="B35" s="2947" t="s">
        <v>2566</v>
      </c>
      <c r="C35" s="2616" t="s">
        <v>3114</v>
      </c>
      <c r="D35" s="436">
        <v>100</v>
      </c>
      <c r="E35" s="2617" t="s">
        <v>3114</v>
      </c>
      <c r="F35" s="462">
        <f>SUMIF(107:107,E35,108:108)-SUMIF(107:107,C35,108:108)+100</f>
        <v>100</v>
      </c>
      <c r="G35" s="2616" t="s">
        <v>3116</v>
      </c>
      <c r="H35" s="436">
        <f>SUMIF(107:107,G35,108:108)-SUMIF(107:107,C35,108:108)+100</f>
        <v>98</v>
      </c>
      <c r="I35" s="2617" t="s">
        <v>3114</v>
      </c>
      <c r="J35" s="436">
        <f>SUMIF(107:107,I35,108:108)-SUMIF(107:107,C35,108:108)+100</f>
        <v>100</v>
      </c>
      <c r="K35" s="427">
        <v>2</v>
      </c>
      <c r="L35" s="1142"/>
      <c r="M35" s="1133"/>
      <c r="N35" s="1133"/>
      <c r="O35" s="1133"/>
      <c r="P35" s="3187"/>
      <c r="Q35" s="2948" t="str">
        <f t="shared" si="8"/>
        <v>建筑品质</v>
      </c>
      <c r="R35" s="773" t="s">
        <v>21</v>
      </c>
      <c r="S35" s="774">
        <f t="shared" si="9"/>
        <v>100</v>
      </c>
      <c r="T35" s="773" t="s">
        <v>21</v>
      </c>
      <c r="U35" s="774">
        <f t="shared" si="10"/>
        <v>98</v>
      </c>
      <c r="V35" s="773" t="s">
        <v>21</v>
      </c>
      <c r="W35" s="774">
        <f t="shared" si="11"/>
        <v>100</v>
      </c>
      <c r="X35" s="2950"/>
      <c r="Y35" s="3189"/>
      <c r="Z35" s="2951" t="str">
        <f t="shared" si="15"/>
        <v>建筑品质</v>
      </c>
      <c r="AA35" s="2949">
        <f t="shared" si="12"/>
        <v>1</v>
      </c>
      <c r="AB35" s="2949">
        <f t="shared" si="13"/>
        <v>1.0204081632653061</v>
      </c>
      <c r="AC35" s="2949">
        <f t="shared" si="14"/>
        <v>1</v>
      </c>
    </row>
    <row r="36" spans="1:29" ht="15">
      <c r="A36" s="473"/>
      <c r="B36" s="2947" t="s">
        <v>2567</v>
      </c>
      <c r="C36" s="2616" t="s">
        <v>3118</v>
      </c>
      <c r="D36" s="436">
        <v>100</v>
      </c>
      <c r="E36" s="2617" t="s">
        <v>3118</v>
      </c>
      <c r="F36" s="462">
        <f>SUMIF(109:109,E36,110:110)-SUMIF(109:109,C36,110:110)+100</f>
        <v>100</v>
      </c>
      <c r="G36" s="2616" t="s">
        <v>3118</v>
      </c>
      <c r="H36" s="436">
        <f>SUMIF(109:109,G36,110:110)-SUMIF(109:109,C36,110:110)+100</f>
        <v>100</v>
      </c>
      <c r="I36" s="2617" t="s">
        <v>3118</v>
      </c>
      <c r="J36" s="436">
        <f>SUMIF(109:109,I36,110:110)-SUMIF(109:109,C36,110:110)+100</f>
        <v>100</v>
      </c>
      <c r="K36" s="427">
        <v>2</v>
      </c>
      <c r="L36" s="1142"/>
      <c r="M36" s="1133"/>
      <c r="N36" s="1133"/>
      <c r="O36" s="1133"/>
      <c r="P36" s="3187"/>
      <c r="Q36" s="2948" t="str">
        <f t="shared" si="8"/>
        <v>公共部分装修</v>
      </c>
      <c r="R36" s="773" t="s">
        <v>21</v>
      </c>
      <c r="S36" s="774">
        <f t="shared" si="9"/>
        <v>100</v>
      </c>
      <c r="T36" s="773" t="s">
        <v>21</v>
      </c>
      <c r="U36" s="774">
        <f t="shared" si="10"/>
        <v>100</v>
      </c>
      <c r="V36" s="773" t="s">
        <v>21</v>
      </c>
      <c r="W36" s="774">
        <f t="shared" si="11"/>
        <v>100</v>
      </c>
      <c r="X36" s="2950"/>
      <c r="Y36" s="3189"/>
      <c r="Z36" s="2951" t="str">
        <f t="shared" si="15"/>
        <v>公共部分装修</v>
      </c>
      <c r="AA36" s="2949">
        <f t="shared" si="12"/>
        <v>1</v>
      </c>
      <c r="AB36" s="2949">
        <f t="shared" si="13"/>
        <v>1</v>
      </c>
      <c r="AC36" s="2949">
        <f t="shared" si="14"/>
        <v>1</v>
      </c>
    </row>
    <row r="37" spans="1:29" s="117" customFormat="1" ht="15">
      <c r="A37" s="474"/>
      <c r="B37" s="2947" t="s">
        <v>2568</v>
      </c>
      <c r="C37" s="475">
        <v>0.9</v>
      </c>
      <c r="D37" s="136">
        <v>100</v>
      </c>
      <c r="E37" s="475">
        <v>0.78</v>
      </c>
      <c r="F37" s="426">
        <f>LOOKUP(E37,112:112,113:113)-LOOKUP(C37,112:112,113:113)+100</f>
        <v>98</v>
      </c>
      <c r="G37" s="477">
        <v>0.77</v>
      </c>
      <c r="H37" s="136">
        <f>LOOKUP(G37,112:112,113:113)-LOOKUP(C37,112:112,113:113)+100</f>
        <v>98</v>
      </c>
      <c r="I37" s="476">
        <v>0.85</v>
      </c>
      <c r="J37" s="136">
        <f>LOOKUP(I37,112:112,113:113)-LOOKUP(C37,112:112,113:113)+100</f>
        <v>99</v>
      </c>
      <c r="K37" s="427">
        <v>1</v>
      </c>
      <c r="L37" s="1134"/>
      <c r="M37" s="1135"/>
      <c r="N37" s="1135"/>
      <c r="O37" s="1135"/>
      <c r="P37" s="3187"/>
      <c r="Q37" s="2945" t="str">
        <f t="shared" si="8"/>
        <v>成新度</v>
      </c>
      <c r="R37" s="769" t="s">
        <v>21</v>
      </c>
      <c r="S37" s="770">
        <f t="shared" si="9"/>
        <v>98</v>
      </c>
      <c r="T37" s="769" t="s">
        <v>21</v>
      </c>
      <c r="U37" s="770">
        <f t="shared" si="10"/>
        <v>98</v>
      </c>
      <c r="V37" s="769" t="s">
        <v>21</v>
      </c>
      <c r="W37" s="770">
        <f t="shared" si="11"/>
        <v>99</v>
      </c>
      <c r="X37" s="771"/>
      <c r="Y37" s="3189"/>
      <c r="Z37" s="2946" t="str">
        <f t="shared" si="15"/>
        <v>成新度</v>
      </c>
      <c r="AA37" s="772">
        <f t="shared" si="12"/>
        <v>1.0204081632653061</v>
      </c>
      <c r="AB37" s="772">
        <f t="shared" si="13"/>
        <v>1.0204081632653061</v>
      </c>
      <c r="AC37" s="772">
        <f t="shared" si="14"/>
        <v>1.0101010101010102</v>
      </c>
    </row>
    <row r="38" spans="1:29" ht="15">
      <c r="A38" s="473"/>
      <c r="B38" s="2947" t="s">
        <v>2569</v>
      </c>
      <c r="C38" s="2616" t="s">
        <v>3124</v>
      </c>
      <c r="D38" s="436">
        <v>100</v>
      </c>
      <c r="E38" s="2617" t="s">
        <v>3124</v>
      </c>
      <c r="F38" s="462">
        <f>SUMIF(114:114,E38,115:115)-SUMIF(114:114,C38,115:115)+100</f>
        <v>100</v>
      </c>
      <c r="G38" s="2616" t="s">
        <v>3116</v>
      </c>
      <c r="H38" s="436">
        <f>SUMIF(114:114,G38,115:115)-SUMIF(114:114,C38,115:115)+100</f>
        <v>99</v>
      </c>
      <c r="I38" s="2617" t="s">
        <v>3124</v>
      </c>
      <c r="J38" s="436">
        <f>SUMIF(114:114,I38,115:115)-SUMIF(114:114,C38,115:115)+100</f>
        <v>100</v>
      </c>
      <c r="K38" s="427">
        <v>1</v>
      </c>
      <c r="L38" s="1142"/>
      <c r="M38" s="1133"/>
      <c r="N38" s="1133"/>
      <c r="O38" s="1133"/>
      <c r="P38" s="3187" t="s">
        <v>2563</v>
      </c>
      <c r="Q38" s="2948" t="str">
        <f t="shared" si="8"/>
        <v>物业管理</v>
      </c>
      <c r="R38" s="773" t="s">
        <v>21</v>
      </c>
      <c r="S38" s="774">
        <f t="shared" si="9"/>
        <v>100</v>
      </c>
      <c r="T38" s="773" t="s">
        <v>21</v>
      </c>
      <c r="U38" s="774">
        <f t="shared" si="10"/>
        <v>99</v>
      </c>
      <c r="V38" s="773" t="s">
        <v>21</v>
      </c>
      <c r="W38" s="774">
        <f t="shared" si="11"/>
        <v>100</v>
      </c>
      <c r="X38" s="2950"/>
      <c r="Y38" s="3189" t="s">
        <v>2563</v>
      </c>
      <c r="Z38" s="2951" t="str">
        <f t="shared" si="15"/>
        <v>物业管理</v>
      </c>
      <c r="AA38" s="2949">
        <f t="shared" si="12"/>
        <v>1</v>
      </c>
      <c r="AB38" s="2949">
        <f t="shared" si="13"/>
        <v>1.0101010101010102</v>
      </c>
      <c r="AC38" s="2949">
        <f t="shared" si="14"/>
        <v>1</v>
      </c>
    </row>
    <row r="39" spans="1:29" ht="15">
      <c r="A39" s="473"/>
      <c r="B39" s="2947" t="s">
        <v>2570</v>
      </c>
      <c r="C39" s="2616" t="s">
        <v>3126</v>
      </c>
      <c r="D39" s="436">
        <v>100</v>
      </c>
      <c r="E39" s="2617" t="s">
        <v>3126</v>
      </c>
      <c r="F39" s="462">
        <f>SUMIF(116:116,E39,117:117)-SUMIF(116:116,C39,117:117)+100</f>
        <v>100</v>
      </c>
      <c r="G39" s="2616" t="s">
        <v>3126</v>
      </c>
      <c r="H39" s="436">
        <f>SUMIF(116:116,G39,117:117)-SUMIF(116:116,C39,117:117)+100</f>
        <v>100</v>
      </c>
      <c r="I39" s="2617" t="s">
        <v>3126</v>
      </c>
      <c r="J39" s="436">
        <f>SUMIF(116:116,I39,117:117)-SUMIF(116:116,C39,117:117)+100</f>
        <v>100</v>
      </c>
      <c r="K39" s="427">
        <v>2</v>
      </c>
      <c r="L39" s="1142"/>
      <c r="M39" s="1133"/>
      <c r="N39" s="1133"/>
      <c r="O39" s="1133"/>
      <c r="P39" s="3187"/>
      <c r="Q39" s="2948" t="str">
        <f t="shared" si="8"/>
        <v>市政基础设施</v>
      </c>
      <c r="R39" s="773" t="s">
        <v>21</v>
      </c>
      <c r="S39" s="774">
        <f t="shared" si="9"/>
        <v>100</v>
      </c>
      <c r="T39" s="773" t="s">
        <v>21</v>
      </c>
      <c r="U39" s="774">
        <f t="shared" si="10"/>
        <v>100</v>
      </c>
      <c r="V39" s="773" t="s">
        <v>21</v>
      </c>
      <c r="W39" s="774">
        <f t="shared" si="11"/>
        <v>100</v>
      </c>
      <c r="X39" s="2950"/>
      <c r="Y39" s="3189"/>
      <c r="Z39" s="2951" t="str">
        <f t="shared" si="15"/>
        <v>市政基础设施</v>
      </c>
      <c r="AA39" s="2949">
        <f t="shared" si="12"/>
        <v>1</v>
      </c>
      <c r="AB39" s="2949">
        <f t="shared" si="13"/>
        <v>1</v>
      </c>
      <c r="AC39" s="2949">
        <f t="shared" si="14"/>
        <v>1</v>
      </c>
    </row>
    <row r="40" spans="1:29" ht="15">
      <c r="A40" s="473"/>
      <c r="B40" s="2947" t="s">
        <v>2571</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v>2</v>
      </c>
      <c r="L40" s="1142"/>
      <c r="M40" s="1133"/>
      <c r="N40" s="1133"/>
      <c r="O40" s="1133"/>
      <c r="P40" s="3187"/>
      <c r="Q40" s="2948" t="str">
        <f t="shared" si="8"/>
        <v>房型</v>
      </c>
      <c r="R40" s="773" t="s">
        <v>21</v>
      </c>
      <c r="S40" s="774">
        <f t="shared" si="9"/>
        <v>100</v>
      </c>
      <c r="T40" s="773" t="s">
        <v>21</v>
      </c>
      <c r="U40" s="774">
        <f t="shared" si="10"/>
        <v>100</v>
      </c>
      <c r="V40" s="773" t="s">
        <v>21</v>
      </c>
      <c r="W40" s="774">
        <f t="shared" si="11"/>
        <v>100</v>
      </c>
      <c r="X40" s="2950"/>
      <c r="Y40" s="3189"/>
      <c r="Z40" s="2951" t="str">
        <f t="shared" si="15"/>
        <v>房型</v>
      </c>
      <c r="AA40" s="2949">
        <f t="shared" si="12"/>
        <v>1</v>
      </c>
      <c r="AB40" s="2949">
        <f t="shared" si="13"/>
        <v>1</v>
      </c>
      <c r="AC40" s="2949">
        <f t="shared" si="14"/>
        <v>1</v>
      </c>
    </row>
    <row r="41" spans="1:29" s="472" customFormat="1" ht="28.5">
      <c r="A41" s="469"/>
      <c r="B41" s="2947" t="s">
        <v>2572</v>
      </c>
      <c r="C41" s="2944" t="s">
        <v>3136</v>
      </c>
      <c r="D41" s="136">
        <v>100</v>
      </c>
      <c r="E41" s="431" t="s">
        <v>3148</v>
      </c>
      <c r="F41" s="426">
        <f>SUMIF(120:120,E41,121:121)-SUMIF(120:120,C41,121:121)+100</f>
        <v>100</v>
      </c>
      <c r="G41" s="430" t="s">
        <v>3150</v>
      </c>
      <c r="H41" s="136">
        <f>SUMIF(120:120,G41,121:121)-SUMIF(120:120,C41,121:121)+100</f>
        <v>100</v>
      </c>
      <c r="I41" s="478" t="s">
        <v>3152</v>
      </c>
      <c r="J41" s="436">
        <f>SUMIF(120:120,I41,121:121)-SUMIF(120:120,C41,121:121)+100</f>
        <v>100</v>
      </c>
      <c r="K41" s="2604"/>
      <c r="L41" s="1140"/>
      <c r="M41" s="1143"/>
      <c r="N41" s="1143"/>
      <c r="O41" s="1143"/>
      <c r="P41" s="3187"/>
      <c r="Q41" s="775" t="str">
        <f t="shared" si="8"/>
        <v>单套/主力户型建筑面积</v>
      </c>
      <c r="R41" s="776" t="s">
        <v>21</v>
      </c>
      <c r="S41" s="777">
        <f t="shared" si="9"/>
        <v>100</v>
      </c>
      <c r="T41" s="776" t="s">
        <v>21</v>
      </c>
      <c r="U41" s="777">
        <f t="shared" si="10"/>
        <v>100</v>
      </c>
      <c r="V41" s="776" t="s">
        <v>21</v>
      </c>
      <c r="W41" s="777">
        <f t="shared" si="11"/>
        <v>100</v>
      </c>
      <c r="X41" s="778"/>
      <c r="Y41" s="3189"/>
      <c r="Z41" s="779" t="str">
        <f t="shared" si="15"/>
        <v>单套/主力户型建筑面积</v>
      </c>
      <c r="AA41" s="2949">
        <f t="shared" si="12"/>
        <v>1</v>
      </c>
      <c r="AB41" s="2949">
        <f t="shared" si="13"/>
        <v>1</v>
      </c>
      <c r="AC41" s="2949">
        <f t="shared" si="14"/>
        <v>1</v>
      </c>
    </row>
    <row r="42" spans="1:29" ht="15">
      <c r="A42" s="473"/>
      <c r="B42" s="2947" t="s">
        <v>2573</v>
      </c>
      <c r="C42" s="2943" t="s">
        <v>3118</v>
      </c>
      <c r="D42" s="436">
        <v>100</v>
      </c>
      <c r="E42" s="2617" t="s">
        <v>3118</v>
      </c>
      <c r="F42" s="462">
        <f>SUMIF(122:122,E42,123:123)-SUMIF(122:122,C42,123:123)+100</f>
        <v>100</v>
      </c>
      <c r="G42" s="2616" t="s">
        <v>3118</v>
      </c>
      <c r="H42" s="436">
        <f>SUMIF(122:122,G42,123:123)-SUMIF(122:122,C42,123:123)+100</f>
        <v>100</v>
      </c>
      <c r="I42" s="2617" t="s">
        <v>3118</v>
      </c>
      <c r="J42" s="436">
        <f>SUMIF(122:122,I42,123:123)-SUMIF(122:122,C42,123:123)+100</f>
        <v>100</v>
      </c>
      <c r="K42" s="427">
        <v>2</v>
      </c>
      <c r="L42" s="1142"/>
      <c r="M42" s="1133"/>
      <c r="N42" s="1133"/>
      <c r="O42" s="1133"/>
      <c r="P42" s="3187"/>
      <c r="Q42" s="2948" t="str">
        <f t="shared" si="8"/>
        <v>内部装修</v>
      </c>
      <c r="R42" s="773" t="s">
        <v>21</v>
      </c>
      <c r="S42" s="774">
        <f t="shared" si="9"/>
        <v>100</v>
      </c>
      <c r="T42" s="773" t="s">
        <v>21</v>
      </c>
      <c r="U42" s="774">
        <f t="shared" si="10"/>
        <v>100</v>
      </c>
      <c r="V42" s="773" t="s">
        <v>21</v>
      </c>
      <c r="W42" s="774">
        <f t="shared" si="11"/>
        <v>100</v>
      </c>
      <c r="X42" s="2950"/>
      <c r="Y42" s="3189"/>
      <c r="Z42" s="2951" t="str">
        <f t="shared" si="15"/>
        <v>内部装修</v>
      </c>
      <c r="AA42" s="2949">
        <f t="shared" si="12"/>
        <v>1</v>
      </c>
      <c r="AB42" s="2949">
        <f t="shared" si="13"/>
        <v>1</v>
      </c>
      <c r="AC42" s="2949">
        <f t="shared" si="14"/>
        <v>1</v>
      </c>
    </row>
    <row r="43" spans="1:29" ht="15">
      <c r="A43" s="473"/>
      <c r="B43" s="2947" t="s">
        <v>2574</v>
      </c>
      <c r="C43" s="2616" t="s">
        <v>3132</v>
      </c>
      <c r="D43" s="436">
        <v>100</v>
      </c>
      <c r="E43" s="2617" t="s">
        <v>3132</v>
      </c>
      <c r="F43" s="462">
        <f>SUMIF(124:124,E43,125:125)-SUMIF(124:124,C43,125:125)+100</f>
        <v>100</v>
      </c>
      <c r="G43" s="2616" t="s">
        <v>3132</v>
      </c>
      <c r="H43" s="436">
        <f>SUMIF(124:124,G43,125:125)-SUMIF(124:124,C43,125:125)+100</f>
        <v>100</v>
      </c>
      <c r="I43" s="2617" t="s">
        <v>3132</v>
      </c>
      <c r="J43" s="436">
        <f>SUMIF(124:124,I43,125:125)-SUMIF(124:124,C43,125:125)+100</f>
        <v>100</v>
      </c>
      <c r="K43" s="427">
        <v>1</v>
      </c>
      <c r="L43" s="1142"/>
      <c r="M43" s="1133"/>
      <c r="N43" s="1133"/>
      <c r="O43" s="1133"/>
      <c r="P43" s="3187"/>
      <c r="Q43" s="2948" t="str">
        <f t="shared" si="8"/>
        <v>内部装修维护情况</v>
      </c>
      <c r="R43" s="773" t="s">
        <v>21</v>
      </c>
      <c r="S43" s="774">
        <f t="shared" si="9"/>
        <v>100</v>
      </c>
      <c r="T43" s="773" t="s">
        <v>21</v>
      </c>
      <c r="U43" s="774">
        <f t="shared" si="10"/>
        <v>100</v>
      </c>
      <c r="V43" s="773" t="s">
        <v>21</v>
      </c>
      <c r="W43" s="774">
        <f t="shared" si="11"/>
        <v>100</v>
      </c>
      <c r="X43" s="2950"/>
      <c r="Y43" s="3189"/>
      <c r="Z43" s="2951" t="str">
        <f t="shared" si="15"/>
        <v>内部装修维护情况</v>
      </c>
      <c r="AA43" s="2949">
        <f t="shared" si="12"/>
        <v>1</v>
      </c>
      <c r="AB43" s="2949">
        <f t="shared" si="13"/>
        <v>1</v>
      </c>
      <c r="AC43" s="2949">
        <f t="shared" si="14"/>
        <v>1</v>
      </c>
    </row>
    <row r="44" spans="1:29" s="117" customFormat="1" ht="15">
      <c r="A44" s="474"/>
      <c r="B44" s="1388">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4"/>
      <c r="M44" s="1135"/>
      <c r="N44" s="1135"/>
      <c r="O44" s="1135"/>
      <c r="P44" s="3187"/>
      <c r="Q44" s="2945">
        <f t="shared" si="8"/>
        <v>111</v>
      </c>
      <c r="R44" s="769" t="s">
        <v>21</v>
      </c>
      <c r="S44" s="770">
        <f t="shared" si="9"/>
        <v>100</v>
      </c>
      <c r="T44" s="769" t="s">
        <v>21</v>
      </c>
      <c r="U44" s="770">
        <f t="shared" si="10"/>
        <v>100</v>
      </c>
      <c r="V44" s="769" t="s">
        <v>21</v>
      </c>
      <c r="W44" s="770">
        <f t="shared" si="11"/>
        <v>100</v>
      </c>
      <c r="X44" s="771"/>
      <c r="Y44" s="3189"/>
      <c r="Z44" s="2946">
        <f t="shared" si="15"/>
        <v>111</v>
      </c>
      <c r="AA44" s="772">
        <f t="shared" si="12"/>
        <v>1</v>
      </c>
      <c r="AB44" s="772">
        <f t="shared" si="13"/>
        <v>1</v>
      </c>
      <c r="AC44" s="772">
        <f t="shared" si="14"/>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2"/>
      <c r="M45" s="1133"/>
      <c r="N45" s="1133"/>
      <c r="O45" s="1133"/>
      <c r="P45" s="3187"/>
      <c r="Q45" s="2948">
        <f t="shared" si="8"/>
        <v>111</v>
      </c>
      <c r="R45" s="773" t="s">
        <v>21</v>
      </c>
      <c r="S45" s="774">
        <f t="shared" si="9"/>
        <v>100</v>
      </c>
      <c r="T45" s="773" t="s">
        <v>21</v>
      </c>
      <c r="U45" s="774">
        <f t="shared" si="10"/>
        <v>100</v>
      </c>
      <c r="V45" s="773" t="s">
        <v>21</v>
      </c>
      <c r="W45" s="774">
        <f t="shared" si="11"/>
        <v>100</v>
      </c>
      <c r="X45" s="2950"/>
      <c r="Y45" s="3189"/>
      <c r="Z45" s="2951">
        <f t="shared" si="15"/>
        <v>111</v>
      </c>
      <c r="AA45" s="2949">
        <f t="shared" si="12"/>
        <v>1</v>
      </c>
      <c r="AB45" s="2949">
        <f t="shared" si="13"/>
        <v>1</v>
      </c>
      <c r="AC45" s="2949">
        <f t="shared" si="14"/>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2"/>
      <c r="M46" s="1133"/>
      <c r="N46" s="1133"/>
      <c r="O46" s="1133"/>
      <c r="P46" s="3188"/>
      <c r="Q46" s="2948">
        <f t="shared" si="8"/>
        <v>111</v>
      </c>
      <c r="R46" s="773" t="s">
        <v>20</v>
      </c>
      <c r="S46" s="774">
        <f t="shared" si="9"/>
        <v>100</v>
      </c>
      <c r="T46" s="773" t="s">
        <v>20</v>
      </c>
      <c r="U46" s="774">
        <f t="shared" si="10"/>
        <v>100</v>
      </c>
      <c r="V46" s="773" t="s">
        <v>20</v>
      </c>
      <c r="W46" s="774">
        <f t="shared" si="11"/>
        <v>100</v>
      </c>
      <c r="X46" s="2950"/>
      <c r="Y46" s="3190"/>
      <c r="Z46" s="2951">
        <f t="shared" si="15"/>
        <v>111</v>
      </c>
      <c r="AA46" s="2949">
        <f t="shared" si="12"/>
        <v>1</v>
      </c>
      <c r="AB46" s="2949">
        <f t="shared" si="13"/>
        <v>1</v>
      </c>
      <c r="AC46" s="2949">
        <f t="shared" si="14"/>
        <v>1</v>
      </c>
    </row>
    <row r="47" spans="1:29" ht="15">
      <c r="A47" s="480" t="s">
        <v>2575</v>
      </c>
      <c r="B47" s="481"/>
      <c r="C47" s="1409" t="s">
        <v>19</v>
      </c>
      <c r="D47" s="1410"/>
      <c r="E47" s="1411">
        <f>ROUND(27000/1.4,0)</f>
        <v>19286</v>
      </c>
      <c r="F47" s="1412"/>
      <c r="G47" s="1413">
        <f>ROUND(25000/1.4,0)</f>
        <v>17857</v>
      </c>
      <c r="H47" s="1414"/>
      <c r="I47" s="1411">
        <f>ROUND(28000/1.4,0)</f>
        <v>20000</v>
      </c>
      <c r="J47" s="1414"/>
      <c r="K47" s="2624"/>
      <c r="L47" s="1145"/>
      <c r="M47" s="1146"/>
      <c r="N47" s="1133"/>
      <c r="O47" s="1146"/>
      <c r="P47" s="3182" t="str">
        <f>A47</f>
        <v>成交单价（元/平方米）</v>
      </c>
      <c r="Q47" s="3182"/>
      <c r="R47" s="3183">
        <f>E47</f>
        <v>19286</v>
      </c>
      <c r="S47" s="3183"/>
      <c r="T47" s="3183">
        <f>G47</f>
        <v>17857</v>
      </c>
      <c r="U47" s="3183"/>
      <c r="V47" s="3183">
        <f>I47</f>
        <v>20000</v>
      </c>
      <c r="W47" s="3183"/>
      <c r="X47" s="758"/>
      <c r="Y47" s="780"/>
      <c r="Z47" s="758"/>
      <c r="AA47" s="758"/>
      <c r="AB47" s="758"/>
      <c r="AC47" s="758"/>
    </row>
    <row r="48" spans="1:29" ht="15.75" thickBot="1">
      <c r="A48" s="487" t="s">
        <v>2576</v>
      </c>
      <c r="B48" s="488"/>
      <c r="C48" s="1415">
        <f>R49</f>
        <v>18420.8</v>
      </c>
      <c r="D48" s="1416"/>
      <c r="E48" s="1417">
        <f>R48</f>
        <v>18785.3</v>
      </c>
      <c r="F48" s="1417"/>
      <c r="G48" s="1415">
        <f>T48</f>
        <v>17927.7</v>
      </c>
      <c r="H48" s="1416"/>
      <c r="I48" s="1417">
        <f>V48</f>
        <v>18549.400000000001</v>
      </c>
      <c r="J48" s="1416"/>
      <c r="K48" s="2625"/>
      <c r="L48" s="1145"/>
      <c r="M48" s="1146"/>
      <c r="N48" s="1146"/>
      <c r="O48" s="1146"/>
      <c r="P48" s="3182" t="str">
        <f>A48</f>
        <v>比较价值（元/平方米）</v>
      </c>
      <c r="Q48" s="3182"/>
      <c r="R48" s="3183">
        <f>IF(F1="售价",ROUND(PRODUCT(R47,AA7:AA46),0),ROUND(PRODUCT(R47,AA7:AA46),1))</f>
        <v>18785.3</v>
      </c>
      <c r="S48" s="3183"/>
      <c r="T48" s="3183">
        <f>IF(F1="售价",ROUND(PRODUCT(T47,AB7:AB46),0),ROUND(PRODUCT(T47,AB7:AB46),1))</f>
        <v>17927.7</v>
      </c>
      <c r="U48" s="3183"/>
      <c r="V48" s="3183">
        <f>IF(F1="售价",ROUND(PRODUCT(V47,AC7:AC46),0),ROUND(PRODUCT(V47,AC7:AC46),1))</f>
        <v>18549.400000000001</v>
      </c>
      <c r="W48" s="3183"/>
      <c r="X48" s="758"/>
      <c r="Y48" s="758"/>
      <c r="Z48" s="758"/>
      <c r="AA48" s="758"/>
      <c r="AB48" s="758"/>
      <c r="AC48" s="758"/>
    </row>
    <row r="49" spans="1:29" ht="15.75" thickBot="1">
      <c r="A49" s="493" t="s">
        <v>3137</v>
      </c>
      <c r="B49" s="494"/>
      <c r="C49" s="1418">
        <f>R49</f>
        <v>18420.8</v>
      </c>
      <c r="D49" s="1419"/>
      <c r="E49" s="1419"/>
      <c r="F49" s="1419"/>
      <c r="G49" s="1419"/>
      <c r="H49" s="1419"/>
      <c r="I49" s="1419"/>
      <c r="J49" s="1419"/>
      <c r="K49" s="2626"/>
      <c r="L49" s="1145"/>
      <c r="M49" s="1146"/>
      <c r="N49" s="1146"/>
      <c r="O49" s="1146"/>
      <c r="P49" s="3179" t="str">
        <f>A49</f>
        <v>估价对象住宅用房的比较价值（楼面单价，元/平方米）</v>
      </c>
      <c r="Q49" s="3180"/>
      <c r="R49" s="3181">
        <f>IF(F1="售价",ROUND(AVERAGE(R48:V48),0),ROUND(AVERAGE(R48:V48),1))</f>
        <v>18420.8</v>
      </c>
      <c r="S49" s="3181"/>
      <c r="T49" s="3181"/>
      <c r="U49" s="3181"/>
      <c r="V49" s="3181"/>
      <c r="W49" s="318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8" t="s">
        <v>2577</v>
      </c>
      <c r="D52" s="499"/>
      <c r="E52" s="500">
        <f>IF(E47&lt;E48,E48/E47-1,E47/E48-1)</f>
        <v>2.6653819742032292E-2</v>
      </c>
      <c r="F52" s="501" t="str">
        <f>IF(OR(E52&gt;=0.3,E52&lt;=-0.3),"超过30%","")</f>
        <v/>
      </c>
      <c r="G52" s="500">
        <f>IF(G47&lt;G48,G48/G47-1,G47/G48-1)</f>
        <v>3.9592316738534805E-3</v>
      </c>
      <c r="H52" s="501" t="str">
        <f>IF(OR(G52&gt;=0.3,G52&lt;=-0.3),"超过30%","")</f>
        <v/>
      </c>
      <c r="I52" s="500">
        <f>IF(I47&lt;I48,I48/I47-1,I47/I48-1)</f>
        <v>7.8201990360874163E-2</v>
      </c>
      <c r="J52" s="501" t="str">
        <f>IF(OR(I52&gt;=0.3,I52&lt;=-0.3),"超过30%","")</f>
        <v/>
      </c>
      <c r="K52" s="1107"/>
      <c r="L52" s="1108"/>
      <c r="M52" s="1146"/>
      <c r="N52" s="1146"/>
      <c r="O52" s="1146"/>
    </row>
    <row r="53" spans="1:29" ht="13.5" customHeight="1">
      <c r="A53" s="1146"/>
      <c r="B53" s="1146"/>
      <c r="C53" s="498" t="s">
        <v>2578</v>
      </c>
      <c r="D53" s="502"/>
      <c r="E53" s="500">
        <f>IF(E48&lt;G48,G48/E48-1,E48/G48-1)</f>
        <v>4.7836588073205011E-2</v>
      </c>
      <c r="F53" s="501" t="str">
        <f>IF(OR(E53&gt;=0.2,E53&lt;=-0.2),"超过20%","")</f>
        <v/>
      </c>
      <c r="G53" s="500">
        <f>IF(G48&lt;I48,I48/G48-1,G48/I48-1)</f>
        <v>3.4678179576856039E-2</v>
      </c>
      <c r="H53" s="501" t="str">
        <f>IF(OR(G53&gt;=0.2,G53&lt;=-0.2),"超过20%","")</f>
        <v/>
      </c>
      <c r="I53" s="500">
        <f>IF(I48&lt;E48,E48/I48-1,I48/E48-1)</f>
        <v>1.2717392476306433E-2</v>
      </c>
      <c r="J53" s="501" t="str">
        <f>IF(OR(I53&gt;=0.2,I53&lt;=-0.2),"超过20%","")</f>
        <v/>
      </c>
      <c r="K53" s="1107"/>
      <c r="L53" s="1108"/>
      <c r="M53" s="1146"/>
      <c r="N53" s="1146"/>
      <c r="O53" s="1146"/>
    </row>
    <row r="54" spans="1:29" s="503" customFormat="1" ht="13.5" customHeight="1">
      <c r="A54" s="1147"/>
      <c r="B54" s="1147"/>
      <c r="C54" s="498" t="s">
        <v>2579</v>
      </c>
      <c r="D54" s="502"/>
      <c r="E54" s="500">
        <f>IF(E47&lt;G47,G47/E47-1,E47/G47-1)</f>
        <v>8.0024640197121633E-2</v>
      </c>
      <c r="F54" s="501" t="str">
        <f>IF(OR(E54&gt;=0.3,E54&lt;=-0.3),"超过30%","")</f>
        <v/>
      </c>
      <c r="G54" s="500">
        <f>IF(G47&lt;I47,I47/G47-1,G47/I47-1)</f>
        <v>0.12000896007168049</v>
      </c>
      <c r="H54" s="501" t="str">
        <f>IF(OR(G54&gt;=0.3,G54&lt;=-0.3),"超过30%","")</f>
        <v/>
      </c>
      <c r="I54" s="500">
        <f>IF(I47&lt;E47,E47/I47-1,I47/E47-1)</f>
        <v>3.7021673752981377E-2</v>
      </c>
      <c r="J54" s="501" t="str">
        <f>IF(OR(I54&gt;=0.3,I54&lt;=-0.3),"超过30%","")</f>
        <v/>
      </c>
      <c r="K54" s="1150"/>
      <c r="L54" s="1151"/>
      <c r="M54" s="1147"/>
      <c r="N54" s="1147"/>
      <c r="O54" s="1147"/>
      <c r="P54" s="2628"/>
    </row>
    <row r="55" spans="1:29" s="503"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9"/>
      <c r="Q57" s="505"/>
    </row>
    <row r="58" spans="1:29" s="509" customFormat="1" ht="15">
      <c r="A58" s="506" t="s">
        <v>2546</v>
      </c>
      <c r="B58" s="507"/>
      <c r="C58" s="1579" t="str">
        <f>YEAR(C7)&amp;"-"&amp;MONTH(C7)</f>
        <v>2017-11</v>
      </c>
      <c r="D58" s="1578">
        <f>EDATE(C58,-1)</f>
        <v>43009</v>
      </c>
      <c r="E58" s="1578">
        <f>EDATE(D58,-1)</f>
        <v>42979</v>
      </c>
      <c r="F58" s="1578">
        <f t="shared" ref="F58:O58" si="16">EDATE(E58,-1)</f>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 t="shared" si="16"/>
        <v>42675</v>
      </c>
      <c r="P58" s="1573"/>
    </row>
    <row r="59" spans="1:29" s="117" customFormat="1" ht="15">
      <c r="A59" s="510"/>
      <c r="B59" s="2630"/>
      <c r="C59" s="1576">
        <v>100</v>
      </c>
      <c r="D59" s="512"/>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2548</v>
      </c>
      <c r="B61" s="511"/>
      <c r="C61" s="523" t="s">
        <v>2584</v>
      </c>
      <c r="D61" s="524"/>
      <c r="E61" s="524"/>
      <c r="F61" s="524"/>
      <c r="G61" s="524"/>
      <c r="H61" s="524"/>
      <c r="I61" s="524"/>
      <c r="J61" s="524"/>
      <c r="K61" s="524"/>
      <c r="L61" s="525"/>
      <c r="M61" s="526"/>
      <c r="N61" s="1153"/>
      <c r="O61" s="1153"/>
      <c r="P61" s="2632"/>
      <c r="Q61" s="505"/>
    </row>
    <row r="62" spans="1:29" s="117" customFormat="1" ht="15.75" thickBot="1">
      <c r="A62" s="522"/>
      <c r="B62" s="511"/>
      <c r="C62" s="512">
        <v>100</v>
      </c>
      <c r="D62" s="513"/>
      <c r="E62" s="513"/>
      <c r="F62" s="513"/>
      <c r="G62" s="513"/>
      <c r="H62" s="513"/>
      <c r="I62" s="513"/>
      <c r="J62" s="513"/>
      <c r="K62" s="513"/>
      <c r="L62" s="513"/>
      <c r="M62" s="515"/>
      <c r="N62" s="1153"/>
      <c r="O62" s="1153"/>
      <c r="P62" s="2631"/>
      <c r="Q62" s="505"/>
    </row>
    <row r="63" spans="1:29">
      <c r="A63" s="528" t="s">
        <v>2585</v>
      </c>
      <c r="B63" s="529" t="s">
        <v>2552</v>
      </c>
      <c r="C63" s="530" t="str">
        <f>C9</f>
        <v>住宅</v>
      </c>
      <c r="D63" s="531"/>
      <c r="E63" s="531"/>
      <c r="F63" s="531"/>
      <c r="G63" s="531"/>
      <c r="H63" s="531"/>
      <c r="I63" s="531"/>
      <c r="J63" s="531"/>
      <c r="K63" s="532"/>
      <c r="L63" s="533"/>
      <c r="M63" s="534"/>
      <c r="N63" s="1154"/>
      <c r="O63" s="1154"/>
      <c r="P63" s="2633"/>
      <c r="Q63" s="505"/>
    </row>
    <row r="64" spans="1:29" ht="15.75" thickBot="1">
      <c r="A64" s="535"/>
      <c r="B64" s="536"/>
      <c r="C64" s="537">
        <v>100</v>
      </c>
      <c r="D64" s="537"/>
      <c r="E64" s="537"/>
      <c r="F64" s="537"/>
      <c r="G64" s="537"/>
      <c r="H64" s="537"/>
      <c r="I64" s="537"/>
      <c r="J64" s="537"/>
      <c r="K64" s="537"/>
      <c r="L64" s="537"/>
      <c r="M64" s="538"/>
      <c r="N64" s="1155"/>
      <c r="O64" s="1155"/>
      <c r="P64" s="2633"/>
      <c r="Q64" s="505"/>
    </row>
    <row r="65" spans="1:17" ht="27.75" thickTop="1">
      <c r="A65" s="535"/>
      <c r="B65" s="539" t="s">
        <v>2555</v>
      </c>
      <c r="C65" s="540" t="s">
        <v>2586</v>
      </c>
      <c r="D65" s="540" t="s">
        <v>2587</v>
      </c>
      <c r="E65" s="540" t="s">
        <v>2588</v>
      </c>
      <c r="F65" s="540" t="s">
        <v>2589</v>
      </c>
      <c r="G65" s="540" t="s">
        <v>2590</v>
      </c>
      <c r="H65" s="540" t="s">
        <v>2591</v>
      </c>
      <c r="I65" s="540" t="s">
        <v>2592</v>
      </c>
      <c r="J65" s="540"/>
      <c r="K65" s="541"/>
      <c r="L65" s="542"/>
      <c r="M65" s="543"/>
      <c r="N65" s="1154"/>
      <c r="O65" s="1154"/>
      <c r="P65" s="2633"/>
      <c r="Q65" s="505"/>
    </row>
    <row r="66" spans="1:17" ht="15.75" thickBot="1">
      <c r="A66" s="535"/>
      <c r="B66" s="544"/>
      <c r="C66" s="545">
        <v>100</v>
      </c>
      <c r="D66" s="545">
        <f t="shared" ref="D66:I66" si="17">C66-$K10</f>
        <v>98</v>
      </c>
      <c r="E66" s="545">
        <f t="shared" si="17"/>
        <v>96</v>
      </c>
      <c r="F66" s="545">
        <f t="shared" si="17"/>
        <v>94</v>
      </c>
      <c r="G66" s="545">
        <f t="shared" si="17"/>
        <v>92</v>
      </c>
      <c r="H66" s="545">
        <f t="shared" si="17"/>
        <v>90</v>
      </c>
      <c r="I66" s="545">
        <f t="shared" si="17"/>
        <v>88</v>
      </c>
      <c r="J66" s="545"/>
      <c r="K66" s="545"/>
      <c r="L66" s="545"/>
      <c r="M66" s="546"/>
      <c r="N66" s="1155"/>
      <c r="O66" s="1155"/>
      <c r="P66" s="2633"/>
      <c r="Q66" s="505"/>
    </row>
    <row r="67" spans="1:17" ht="15.75" thickTop="1">
      <c r="A67" s="535"/>
      <c r="B67" s="547" t="s">
        <v>2556</v>
      </c>
      <c r="C67" s="548" t="str">
        <f>C68&amp;"（含）"&amp;"-"&amp;D68</f>
        <v>0（含）-1</v>
      </c>
      <c r="D67" s="548" t="str">
        <f t="shared" ref="D67:L67" si="18">D68&amp;"（含）"&amp;"-"&amp;E68</f>
        <v>1（含）-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5"/>
      <c r="O67" s="1155"/>
      <c r="P67" s="2633"/>
      <c r="Q67" s="505"/>
    </row>
    <row r="68" spans="1:17" ht="15">
      <c r="A68" s="535"/>
      <c r="B68" s="549"/>
      <c r="C68" s="550">
        <v>0</v>
      </c>
      <c r="D68" s="550">
        <v>1</v>
      </c>
      <c r="E68" s="550"/>
      <c r="F68" s="550"/>
      <c r="G68" s="550"/>
      <c r="H68" s="550"/>
      <c r="I68" s="550"/>
      <c r="J68" s="550"/>
      <c r="K68" s="551"/>
      <c r="L68" s="552"/>
      <c r="M68" s="553"/>
      <c r="N68" s="1154"/>
      <c r="O68" s="1154"/>
      <c r="P68" s="2633"/>
      <c r="Q68" s="505"/>
    </row>
    <row r="69" spans="1:17" ht="15.75" thickBot="1">
      <c r="A69" s="535"/>
      <c r="B69" s="536"/>
      <c r="C69" s="545">
        <v>100</v>
      </c>
      <c r="D69" s="545">
        <f t="shared" ref="D69:M69" si="19">C69-$K11</f>
        <v>98</v>
      </c>
      <c r="E69" s="545">
        <f t="shared" si="19"/>
        <v>96</v>
      </c>
      <c r="F69" s="545">
        <f t="shared" si="19"/>
        <v>94</v>
      </c>
      <c r="G69" s="545">
        <f t="shared" si="19"/>
        <v>92</v>
      </c>
      <c r="H69" s="545">
        <f t="shared" si="19"/>
        <v>90</v>
      </c>
      <c r="I69" s="545">
        <f t="shared" si="19"/>
        <v>88</v>
      </c>
      <c r="J69" s="545">
        <f t="shared" si="19"/>
        <v>86</v>
      </c>
      <c r="K69" s="545">
        <f t="shared" si="19"/>
        <v>84</v>
      </c>
      <c r="L69" s="545">
        <f t="shared" si="19"/>
        <v>82</v>
      </c>
      <c r="M69" s="546">
        <f t="shared" si="19"/>
        <v>80</v>
      </c>
      <c r="N69" s="1155"/>
      <c r="O69" s="1155"/>
      <c r="P69" s="2633"/>
      <c r="Q69" s="505"/>
    </row>
    <row r="70" spans="1:17" s="472" customFormat="1" ht="15.75" thickTop="1">
      <c r="A70" s="554"/>
      <c r="B70" s="539">
        <f>B12</f>
        <v>111</v>
      </c>
      <c r="C70" s="555"/>
      <c r="D70" s="555"/>
      <c r="E70" s="555"/>
      <c r="F70" s="555"/>
      <c r="G70" s="555"/>
      <c r="H70" s="556"/>
      <c r="I70" s="556"/>
      <c r="J70" s="556"/>
      <c r="K70" s="556"/>
      <c r="L70" s="557"/>
      <c r="M70" s="558"/>
      <c r="N70" s="1156"/>
      <c r="O70" s="1156"/>
      <c r="P70" s="2634"/>
      <c r="Q70" s="560"/>
    </row>
    <row r="71" spans="1:17" s="472" customFormat="1" ht="15.75" thickBot="1">
      <c r="A71" s="554"/>
      <c r="B71" s="544"/>
      <c r="C71" s="561"/>
      <c r="D71" s="537"/>
      <c r="E71" s="537"/>
      <c r="F71" s="537"/>
      <c r="G71" s="537"/>
      <c r="H71" s="537"/>
      <c r="I71" s="537"/>
      <c r="J71" s="537"/>
      <c r="K71" s="537"/>
      <c r="L71" s="537"/>
      <c r="M71" s="538"/>
      <c r="N71" s="1155"/>
      <c r="O71" s="1155"/>
      <c r="P71" s="2634"/>
      <c r="Q71" s="560"/>
    </row>
    <row r="72" spans="1:17" s="472" customFormat="1" ht="15.75" thickTop="1">
      <c r="A72" s="554"/>
      <c r="B72" s="539">
        <f>B13</f>
        <v>111</v>
      </c>
      <c r="C72" s="555"/>
      <c r="D72" s="555"/>
      <c r="E72" s="555"/>
      <c r="F72" s="555"/>
      <c r="G72" s="555"/>
      <c r="H72" s="556"/>
      <c r="I72" s="556"/>
      <c r="J72" s="556"/>
      <c r="K72" s="556"/>
      <c r="L72" s="557"/>
      <c r="M72" s="558"/>
      <c r="N72" s="1156"/>
      <c r="O72" s="1156"/>
      <c r="P72" s="2635"/>
      <c r="Q72" s="562"/>
    </row>
    <row r="73" spans="1:17" s="472" customFormat="1" ht="15.75" thickBot="1">
      <c r="A73" s="554"/>
      <c r="B73" s="544"/>
      <c r="C73" s="561"/>
      <c r="D73" s="561"/>
      <c r="E73" s="561"/>
      <c r="F73" s="561"/>
      <c r="G73" s="561"/>
      <c r="H73" s="563"/>
      <c r="I73" s="563"/>
      <c r="J73" s="563"/>
      <c r="K73" s="563"/>
      <c r="L73" s="563"/>
      <c r="M73" s="564"/>
      <c r="N73" s="1156"/>
      <c r="O73" s="1156"/>
      <c r="P73" s="2634"/>
      <c r="Q73" s="560"/>
    </row>
    <row r="74" spans="1:17" s="472" customFormat="1" ht="15.75" thickTop="1">
      <c r="A74" s="554"/>
      <c r="B74" s="547">
        <f>B14</f>
        <v>111</v>
      </c>
      <c r="C74" s="555"/>
      <c r="D74" s="555"/>
      <c r="E74" s="555"/>
      <c r="F74" s="555"/>
      <c r="G74" s="524"/>
      <c r="H74" s="565"/>
      <c r="I74" s="565"/>
      <c r="J74" s="565"/>
      <c r="K74" s="565"/>
      <c r="L74" s="566"/>
      <c r="M74" s="567"/>
      <c r="N74" s="1156"/>
      <c r="O74" s="1156"/>
      <c r="P74" s="2636"/>
      <c r="Q74" s="560"/>
    </row>
    <row r="75" spans="1:17" s="472" customFormat="1" ht="15.75" thickBot="1">
      <c r="A75" s="569"/>
      <c r="B75" s="570"/>
      <c r="C75" s="571"/>
      <c r="D75" s="571"/>
      <c r="E75" s="571"/>
      <c r="F75" s="571"/>
      <c r="G75" s="571"/>
      <c r="H75" s="572"/>
      <c r="I75" s="572"/>
      <c r="J75" s="572"/>
      <c r="K75" s="572"/>
      <c r="L75" s="572"/>
      <c r="M75" s="573"/>
      <c r="N75" s="1156"/>
      <c r="O75" s="1156"/>
      <c r="P75" s="2634"/>
      <c r="Q75" s="560"/>
    </row>
    <row r="76" spans="1:17">
      <c r="A76" s="528" t="s">
        <v>2557</v>
      </c>
      <c r="B76" s="529" t="s">
        <v>2593</v>
      </c>
      <c r="C76" s="574" t="s">
        <v>2594</v>
      </c>
      <c r="D76" s="574" t="s">
        <v>2595</v>
      </c>
      <c r="E76" s="574" t="s">
        <v>2596</v>
      </c>
      <c r="F76" s="574" t="s">
        <v>2597</v>
      </c>
      <c r="G76" s="574" t="s">
        <v>2598</v>
      </c>
      <c r="H76" s="530"/>
      <c r="I76" s="530"/>
      <c r="J76" s="530"/>
      <c r="K76" s="575"/>
      <c r="L76" s="576"/>
      <c r="M76" s="577"/>
      <c r="N76" s="1154"/>
      <c r="O76" s="1154"/>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5"/>
      <c r="O77" s="1155"/>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4"/>
      <c r="O78" s="1154"/>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5"/>
      <c r="O79" s="1155"/>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4"/>
      <c r="O80" s="1154"/>
      <c r="P80" s="2633"/>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5"/>
      <c r="O81" s="1155"/>
      <c r="P81" s="2633"/>
      <c r="Q81" s="505"/>
    </row>
    <row r="82" spans="1:17" ht="15.75" thickTop="1">
      <c r="A82" s="535"/>
      <c r="B82" s="547" t="s">
        <v>2096</v>
      </c>
      <c r="C82" s="540" t="s">
        <v>2601</v>
      </c>
      <c r="D82" s="540" t="s">
        <v>2602</v>
      </c>
      <c r="E82" s="540" t="s">
        <v>2603</v>
      </c>
      <c r="F82" s="540" t="s">
        <v>2604</v>
      </c>
      <c r="G82" s="540" t="s">
        <v>2605</v>
      </c>
      <c r="H82" s="540"/>
      <c r="I82" s="540"/>
      <c r="J82" s="540"/>
      <c r="K82" s="540"/>
      <c r="L82" s="540"/>
      <c r="M82" s="1384"/>
      <c r="N82" s="1155"/>
      <c r="O82" s="1155"/>
      <c r="P82" s="2633"/>
      <c r="Q82" s="505"/>
    </row>
    <row r="83" spans="1:17" ht="15.75" thickBot="1">
      <c r="A83" s="535"/>
      <c r="B83" s="547"/>
      <c r="C83" s="661">
        <v>100</v>
      </c>
      <c r="D83" s="661">
        <f>C83-$K21</f>
        <v>99</v>
      </c>
      <c r="E83" s="661">
        <f>D83-$K21</f>
        <v>98</v>
      </c>
      <c r="F83" s="661">
        <f>E83-$K21</f>
        <v>97</v>
      </c>
      <c r="G83" s="661">
        <f>F83-$K21</f>
        <v>96</v>
      </c>
      <c r="H83" s="661"/>
      <c r="I83" s="661"/>
      <c r="J83" s="661"/>
      <c r="K83" s="661"/>
      <c r="L83" s="661"/>
      <c r="M83" s="451"/>
      <c r="N83" s="1155"/>
      <c r="O83" s="1155"/>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4"/>
      <c r="O84" s="1154"/>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5"/>
      <c r="O85" s="1155"/>
      <c r="P85" s="2633"/>
      <c r="Q85" s="505"/>
    </row>
    <row r="86" spans="1:17" s="117" customFormat="1" ht="15.75" thickTop="1">
      <c r="A86" s="580"/>
      <c r="B86" s="539" t="s">
        <v>2607</v>
      </c>
      <c r="C86" s="2938">
        <v>1</v>
      </c>
      <c r="D86" s="2938">
        <v>2</v>
      </c>
      <c r="E86" s="555">
        <v>3</v>
      </c>
      <c r="F86" s="555">
        <v>4</v>
      </c>
      <c r="G86" s="555">
        <v>5</v>
      </c>
      <c r="H86" s="555">
        <v>6</v>
      </c>
      <c r="I86" s="555">
        <v>7</v>
      </c>
      <c r="J86" s="555">
        <v>8</v>
      </c>
      <c r="K86" s="555">
        <v>9</v>
      </c>
      <c r="L86" s="581">
        <v>10</v>
      </c>
      <c r="M86" s="582">
        <v>11</v>
      </c>
      <c r="N86" s="1153"/>
      <c r="O86" s="1153"/>
      <c r="P86" s="2633"/>
      <c r="Q86" s="505"/>
    </row>
    <row r="87" spans="1:17" s="117" customFormat="1" ht="15.75" thickBot="1">
      <c r="A87" s="580"/>
      <c r="B87" s="544"/>
      <c r="C87" s="583">
        <v>100</v>
      </c>
      <c r="D87" s="545">
        <f t="shared" ref="D87:M87" si="20">$C$87-($C$86-D86)*$K$25</f>
        <v>101</v>
      </c>
      <c r="E87" s="545">
        <f t="shared" si="20"/>
        <v>102</v>
      </c>
      <c r="F87" s="545">
        <f t="shared" si="20"/>
        <v>103</v>
      </c>
      <c r="G87" s="545">
        <f t="shared" si="20"/>
        <v>104</v>
      </c>
      <c r="H87" s="545">
        <f t="shared" si="20"/>
        <v>105</v>
      </c>
      <c r="I87" s="545">
        <f t="shared" si="20"/>
        <v>106</v>
      </c>
      <c r="J87" s="545">
        <f t="shared" si="20"/>
        <v>107</v>
      </c>
      <c r="K87" s="545">
        <f t="shared" si="20"/>
        <v>108</v>
      </c>
      <c r="L87" s="545">
        <f t="shared" si="20"/>
        <v>109</v>
      </c>
      <c r="M87" s="545">
        <f t="shared" si="20"/>
        <v>110</v>
      </c>
      <c r="N87" s="1155"/>
      <c r="O87" s="1155"/>
      <c r="P87" s="2633"/>
      <c r="Q87" s="505"/>
    </row>
    <row r="88" spans="1:17" s="117" customFormat="1" ht="15.75" thickTop="1">
      <c r="A88" s="580"/>
      <c r="B88" s="539" t="s">
        <v>2608</v>
      </c>
      <c r="C88" s="2938" t="s">
        <v>3097</v>
      </c>
      <c r="D88" s="2938" t="s">
        <v>3098</v>
      </c>
      <c r="E88" s="2938" t="s">
        <v>3100</v>
      </c>
      <c r="F88" s="2939" t="s">
        <v>3101</v>
      </c>
      <c r="G88" s="2938" t="s">
        <v>3104</v>
      </c>
      <c r="H88" s="2938" t="s">
        <v>3102</v>
      </c>
      <c r="I88" s="2938" t="s">
        <v>3105</v>
      </c>
      <c r="J88" s="2938" t="s">
        <v>3106</v>
      </c>
      <c r="K88" s="2938" t="s">
        <v>3107</v>
      </c>
      <c r="L88" s="555"/>
      <c r="M88" s="582"/>
      <c r="N88" s="1153"/>
      <c r="O88" s="1153"/>
      <c r="P88" s="2633"/>
      <c r="Q88" s="505"/>
    </row>
    <row r="89" spans="1:17" s="117" customFormat="1" ht="15.75" thickBot="1">
      <c r="A89" s="580"/>
      <c r="B89" s="544"/>
      <c r="C89" s="583">
        <v>100</v>
      </c>
      <c r="D89" s="545">
        <f t="shared" ref="D89:M89" si="21">C89-$K26</f>
        <v>98</v>
      </c>
      <c r="E89" s="545">
        <f t="shared" si="21"/>
        <v>96</v>
      </c>
      <c r="F89" s="545">
        <f t="shared" si="21"/>
        <v>94</v>
      </c>
      <c r="G89" s="545">
        <f t="shared" si="21"/>
        <v>92</v>
      </c>
      <c r="H89" s="545">
        <f t="shared" si="21"/>
        <v>90</v>
      </c>
      <c r="I89" s="545">
        <f t="shared" si="21"/>
        <v>88</v>
      </c>
      <c r="J89" s="545">
        <f t="shared" si="21"/>
        <v>86</v>
      </c>
      <c r="K89" s="545">
        <f t="shared" si="21"/>
        <v>84</v>
      </c>
      <c r="L89" s="545">
        <f t="shared" si="21"/>
        <v>82</v>
      </c>
      <c r="M89" s="545">
        <f t="shared" si="21"/>
        <v>80</v>
      </c>
      <c r="N89" s="1155"/>
      <c r="O89" s="1155"/>
      <c r="P89" s="2633"/>
      <c r="Q89" s="505"/>
    </row>
    <row r="90" spans="1:17" s="472" customFormat="1" ht="15.75" thickTop="1">
      <c r="A90" s="554"/>
      <c r="B90" s="539" t="str">
        <f>B27</f>
        <v>楼层</v>
      </c>
      <c r="C90" s="555"/>
      <c r="D90" s="555"/>
      <c r="E90" s="555"/>
      <c r="F90" s="555"/>
      <c r="G90" s="555"/>
      <c r="H90" s="556"/>
      <c r="I90" s="556"/>
      <c r="J90" s="556"/>
      <c r="K90" s="556"/>
      <c r="L90" s="557"/>
      <c r="M90" s="558"/>
      <c r="N90" s="1156"/>
      <c r="O90" s="1156"/>
      <c r="P90" s="2634"/>
      <c r="Q90" s="560"/>
    </row>
    <row r="91" spans="1:17" s="472" customFormat="1" ht="15.75" thickBot="1">
      <c r="A91" s="554"/>
      <c r="B91" s="544"/>
      <c r="C91" s="561"/>
      <c r="D91" s="561"/>
      <c r="E91" s="561"/>
      <c r="F91" s="561"/>
      <c r="G91" s="561"/>
      <c r="H91" s="563"/>
      <c r="I91" s="563"/>
      <c r="J91" s="563"/>
      <c r="K91" s="563"/>
      <c r="L91" s="563"/>
      <c r="M91" s="564"/>
      <c r="N91" s="1156"/>
      <c r="O91" s="1156"/>
      <c r="P91" s="2634"/>
      <c r="Q91" s="560"/>
    </row>
    <row r="92" spans="1:17" ht="15.75" thickTop="1">
      <c r="A92" s="535"/>
      <c r="B92" s="539">
        <f>B28</f>
        <v>111</v>
      </c>
      <c r="C92" s="555"/>
      <c r="D92" s="555"/>
      <c r="E92" s="555"/>
      <c r="F92" s="555"/>
      <c r="G92" s="584"/>
      <c r="H92" s="584"/>
      <c r="I92" s="584"/>
      <c r="J92" s="584"/>
      <c r="K92" s="585"/>
      <c r="L92" s="586"/>
      <c r="M92" s="587"/>
      <c r="N92" s="1154"/>
      <c r="O92" s="1154"/>
      <c r="P92" s="2633"/>
      <c r="Q92" s="505"/>
    </row>
    <row r="93" spans="1:17" ht="15.75" thickBot="1">
      <c r="A93" s="535"/>
      <c r="B93" s="544"/>
      <c r="C93" s="561"/>
      <c r="D93" s="537"/>
      <c r="E93" s="537"/>
      <c r="F93" s="537"/>
      <c r="G93" s="537"/>
      <c r="H93" s="537"/>
      <c r="I93" s="537"/>
      <c r="J93" s="537"/>
      <c r="K93" s="537"/>
      <c r="L93" s="537"/>
      <c r="M93" s="538"/>
      <c r="N93" s="1155"/>
      <c r="O93" s="1155"/>
      <c r="P93" s="2633"/>
      <c r="Q93" s="505"/>
    </row>
    <row r="94" spans="1:17" ht="15.75" thickTop="1">
      <c r="A94" s="535"/>
      <c r="B94" s="539">
        <f>B29</f>
        <v>111</v>
      </c>
      <c r="C94" s="555"/>
      <c r="D94" s="555"/>
      <c r="E94" s="555"/>
      <c r="F94" s="555"/>
      <c r="G94" s="584"/>
      <c r="H94" s="584"/>
      <c r="I94" s="584"/>
      <c r="J94" s="584"/>
      <c r="K94" s="585"/>
      <c r="L94" s="586"/>
      <c r="M94" s="587"/>
      <c r="N94" s="1154"/>
      <c r="O94" s="1154"/>
      <c r="P94" s="2633"/>
      <c r="Q94" s="505"/>
    </row>
    <row r="95" spans="1:17" ht="15.75" thickBot="1">
      <c r="A95" s="535"/>
      <c r="B95" s="544"/>
      <c r="C95" s="561"/>
      <c r="D95" s="561"/>
      <c r="E95" s="561"/>
      <c r="F95" s="561"/>
      <c r="G95" s="537"/>
      <c r="H95" s="537"/>
      <c r="I95" s="537"/>
      <c r="J95" s="537"/>
      <c r="K95" s="537"/>
      <c r="L95" s="537"/>
      <c r="M95" s="538"/>
      <c r="N95" s="1155"/>
      <c r="O95" s="1155"/>
      <c r="P95" s="2633"/>
      <c r="Q95" s="505"/>
    </row>
    <row r="96" spans="1:17" ht="15.75" thickTop="1">
      <c r="A96" s="535"/>
      <c r="B96" s="539">
        <f>B30</f>
        <v>111</v>
      </c>
      <c r="C96" s="555"/>
      <c r="D96" s="555"/>
      <c r="E96" s="555"/>
      <c r="F96" s="555"/>
      <c r="G96" s="584"/>
      <c r="H96" s="584"/>
      <c r="I96" s="584"/>
      <c r="J96" s="584"/>
      <c r="K96" s="585"/>
      <c r="L96" s="586"/>
      <c r="M96" s="587"/>
      <c r="N96" s="1154"/>
      <c r="O96" s="1154"/>
      <c r="P96" s="2633"/>
      <c r="Q96" s="505"/>
    </row>
    <row r="97" spans="1:17" ht="15.75" thickBot="1">
      <c r="A97" s="535"/>
      <c r="B97" s="544"/>
      <c r="C97" s="571"/>
      <c r="D97" s="571"/>
      <c r="E97" s="571"/>
      <c r="F97" s="571"/>
      <c r="G97" s="537"/>
      <c r="H97" s="537"/>
      <c r="I97" s="537"/>
      <c r="J97" s="537"/>
      <c r="K97" s="537"/>
      <c r="L97" s="537"/>
      <c r="M97" s="538"/>
      <c r="N97" s="1155"/>
      <c r="O97" s="1155"/>
      <c r="P97" s="2633"/>
      <c r="Q97" s="505"/>
    </row>
    <row r="98" spans="1:17" ht="15.75" thickTop="1">
      <c r="A98" s="535"/>
      <c r="B98" s="547">
        <f>B31</f>
        <v>111</v>
      </c>
      <c r="C98" s="588"/>
      <c r="D98" s="588"/>
      <c r="E98" s="588"/>
      <c r="F98" s="588"/>
      <c r="G98" s="588"/>
      <c r="H98" s="588"/>
      <c r="I98" s="588"/>
      <c r="J98" s="588"/>
      <c r="K98" s="589"/>
      <c r="L98" s="590"/>
      <c r="M98" s="591"/>
      <c r="N98" s="1154"/>
      <c r="O98" s="1154"/>
      <c r="P98" s="2633"/>
      <c r="Q98" s="505"/>
    </row>
    <row r="99" spans="1:17" ht="15.75" thickBot="1">
      <c r="A99" s="2639"/>
      <c r="B99" s="570"/>
      <c r="C99" s="592"/>
      <c r="D99" s="592"/>
      <c r="E99" s="592"/>
      <c r="F99" s="592"/>
      <c r="G99" s="592"/>
      <c r="H99" s="592"/>
      <c r="I99" s="592"/>
      <c r="J99" s="592"/>
      <c r="K99" s="592"/>
      <c r="L99" s="592"/>
      <c r="M99" s="593"/>
      <c r="N99" s="1155"/>
      <c r="O99" s="1155"/>
      <c r="P99" s="2633"/>
      <c r="Q99" s="505"/>
    </row>
    <row r="100" spans="1:17">
      <c r="A100" s="528" t="s">
        <v>2561</v>
      </c>
      <c r="B100" s="529" t="s">
        <v>2609</v>
      </c>
      <c r="C100" s="2940" t="s">
        <v>3108</v>
      </c>
      <c r="D100" s="2940" t="s">
        <v>3109</v>
      </c>
      <c r="E100" s="2940" t="s">
        <v>3111</v>
      </c>
      <c r="F100" s="531"/>
      <c r="G100" s="531"/>
      <c r="H100" s="531"/>
      <c r="I100" s="531"/>
      <c r="J100" s="531"/>
      <c r="K100" s="532"/>
      <c r="L100" s="533"/>
      <c r="M100" s="534"/>
      <c r="N100" s="1154"/>
      <c r="O100" s="1154"/>
      <c r="P100" s="2633"/>
      <c r="Q100" s="505"/>
    </row>
    <row r="101" spans="1:17" ht="15.75" thickBot="1">
      <c r="A101" s="535"/>
      <c r="B101" s="544"/>
      <c r="C101" s="545">
        <v>100</v>
      </c>
      <c r="D101" s="545">
        <f t="shared" ref="D101:M101" si="22">C101-$K32</f>
        <v>99</v>
      </c>
      <c r="E101" s="545">
        <f t="shared" si="22"/>
        <v>98</v>
      </c>
      <c r="F101" s="545">
        <f t="shared" si="22"/>
        <v>97</v>
      </c>
      <c r="G101" s="545">
        <f t="shared" si="22"/>
        <v>96</v>
      </c>
      <c r="H101" s="545">
        <f t="shared" si="22"/>
        <v>95</v>
      </c>
      <c r="I101" s="545">
        <f t="shared" si="22"/>
        <v>94</v>
      </c>
      <c r="J101" s="545">
        <f t="shared" si="22"/>
        <v>93</v>
      </c>
      <c r="K101" s="545">
        <f t="shared" si="22"/>
        <v>92</v>
      </c>
      <c r="L101" s="545">
        <f t="shared" si="22"/>
        <v>91</v>
      </c>
      <c r="M101" s="545">
        <f t="shared" si="22"/>
        <v>90</v>
      </c>
      <c r="N101" s="1155"/>
      <c r="O101" s="1155"/>
      <c r="P101" s="2633"/>
      <c r="Q101" s="505"/>
    </row>
    <row r="102" spans="1:17" ht="15.75" thickTop="1">
      <c r="A102" s="535"/>
      <c r="B102" s="539" t="s">
        <v>2610</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3"/>
      <c r="O102" s="1153"/>
      <c r="P102" s="2633"/>
      <c r="Q102" s="505"/>
    </row>
    <row r="103" spans="1:17" s="472" customFormat="1">
      <c r="A103" s="594"/>
      <c r="B103" s="595"/>
      <c r="C103" s="596">
        <v>0</v>
      </c>
      <c r="D103" s="596">
        <v>100</v>
      </c>
      <c r="E103" s="596">
        <v>200</v>
      </c>
      <c r="F103" s="596">
        <v>300</v>
      </c>
      <c r="G103" s="596"/>
      <c r="H103" s="596"/>
      <c r="I103" s="596"/>
      <c r="J103" s="597"/>
      <c r="K103" s="597"/>
      <c r="L103" s="598"/>
      <c r="M103" s="599"/>
      <c r="N103" s="1156"/>
      <c r="O103" s="1156"/>
      <c r="P103" s="2634"/>
      <c r="Q103" s="560"/>
    </row>
    <row r="104" spans="1:17" s="472" customFormat="1" ht="15.75" thickBot="1">
      <c r="A104" s="554"/>
      <c r="B104" s="544"/>
      <c r="C104" s="561">
        <v>100</v>
      </c>
      <c r="D104" s="537">
        <v>98</v>
      </c>
      <c r="E104" s="537">
        <v>96</v>
      </c>
      <c r="F104" s="537">
        <v>94</v>
      </c>
      <c r="G104" s="537"/>
      <c r="H104" s="537"/>
      <c r="I104" s="537"/>
      <c r="J104" s="537"/>
      <c r="K104" s="537"/>
      <c r="L104" s="537"/>
      <c r="M104" s="537"/>
      <c r="N104" s="1155"/>
      <c r="O104" s="1155"/>
      <c r="P104" s="2634"/>
      <c r="Q104" s="560"/>
    </row>
    <row r="105" spans="1:17" ht="15" thickTop="1">
      <c r="A105" s="600"/>
      <c r="B105" s="539" t="s">
        <v>2611</v>
      </c>
      <c r="C105" s="2938" t="s">
        <v>3113</v>
      </c>
      <c r="D105" s="555"/>
      <c r="E105" s="584"/>
      <c r="F105" s="584"/>
      <c r="G105" s="584"/>
      <c r="H105" s="584"/>
      <c r="I105" s="584"/>
      <c r="J105" s="584"/>
      <c r="K105" s="585"/>
      <c r="L105" s="586"/>
      <c r="M105" s="587"/>
      <c r="N105" s="1154"/>
      <c r="O105" s="1154"/>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5">
        <f t="shared" si="24"/>
        <v>80</v>
      </c>
      <c r="N106" s="1155"/>
      <c r="O106" s="1155"/>
      <c r="P106" s="2633"/>
      <c r="Q106" s="505"/>
    </row>
    <row r="107" spans="1:17" ht="15" thickTop="1">
      <c r="A107" s="600"/>
      <c r="B107" s="539" t="s">
        <v>2612</v>
      </c>
      <c r="C107" s="2941" t="s">
        <v>3115</v>
      </c>
      <c r="D107" s="2941" t="s">
        <v>3117</v>
      </c>
      <c r="E107" s="584"/>
      <c r="F107" s="584"/>
      <c r="G107" s="584"/>
      <c r="H107" s="584"/>
      <c r="I107" s="584"/>
      <c r="J107" s="584"/>
      <c r="K107" s="585"/>
      <c r="L107" s="586"/>
      <c r="M107" s="587"/>
      <c r="N107" s="1154"/>
      <c r="O107" s="1154"/>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5">
        <f t="shared" si="25"/>
        <v>80</v>
      </c>
      <c r="N108" s="1155"/>
      <c r="O108" s="1155"/>
      <c r="P108" s="2633"/>
      <c r="Q108" s="505"/>
    </row>
    <row r="109" spans="1:17" ht="15" thickTop="1">
      <c r="A109" s="600"/>
      <c r="B109" s="539" t="s">
        <v>2613</v>
      </c>
      <c r="C109" s="2938" t="s">
        <v>3119</v>
      </c>
      <c r="D109" s="2938" t="s">
        <v>3121</v>
      </c>
      <c r="E109" s="2938" t="s">
        <v>3122</v>
      </c>
      <c r="F109" s="2941" t="s">
        <v>3123</v>
      </c>
      <c r="G109" s="584"/>
      <c r="H109" s="584"/>
      <c r="I109" s="584"/>
      <c r="J109" s="584"/>
      <c r="K109" s="585"/>
      <c r="L109" s="586"/>
      <c r="M109" s="587"/>
      <c r="N109" s="1154"/>
      <c r="O109" s="1154"/>
      <c r="P109" s="2633"/>
      <c r="Q109" s="505"/>
    </row>
    <row r="110" spans="1:17" ht="15.75" thickBot="1">
      <c r="A110" s="535"/>
      <c r="B110" s="544"/>
      <c r="C110" s="545">
        <v>100</v>
      </c>
      <c r="D110" s="545">
        <f t="shared" ref="D110:M110" si="26">C110-$K36</f>
        <v>98</v>
      </c>
      <c r="E110" s="545">
        <f t="shared" si="26"/>
        <v>96</v>
      </c>
      <c r="F110" s="545">
        <f t="shared" si="26"/>
        <v>94</v>
      </c>
      <c r="G110" s="545">
        <f t="shared" si="26"/>
        <v>92</v>
      </c>
      <c r="H110" s="545">
        <f t="shared" si="26"/>
        <v>90</v>
      </c>
      <c r="I110" s="545">
        <f t="shared" si="26"/>
        <v>88</v>
      </c>
      <c r="J110" s="545">
        <f t="shared" si="26"/>
        <v>86</v>
      </c>
      <c r="K110" s="545">
        <f t="shared" si="26"/>
        <v>84</v>
      </c>
      <c r="L110" s="545">
        <f t="shared" si="26"/>
        <v>82</v>
      </c>
      <c r="M110" s="545">
        <f t="shared" si="26"/>
        <v>80</v>
      </c>
      <c r="N110" s="1155"/>
      <c r="O110" s="1155"/>
      <c r="P110" s="2633"/>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6"/>
      <c r="O111" s="1156"/>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6"/>
      <c r="O112" s="1156"/>
      <c r="P112" s="2634"/>
      <c r="Q112" s="560"/>
    </row>
    <row r="113" spans="1:17" s="472" customFormat="1" ht="15.75" thickBot="1">
      <c r="A113" s="554"/>
      <c r="B113" s="544"/>
      <c r="C113" s="583">
        <v>100</v>
      </c>
      <c r="D113" s="545">
        <f>C113+$K37</f>
        <v>101</v>
      </c>
      <c r="E113" s="545">
        <f>D113+$K37</f>
        <v>102</v>
      </c>
      <c r="F113" s="545">
        <f>E113+$K37</f>
        <v>103</v>
      </c>
      <c r="G113" s="545">
        <f>F113+$K37</f>
        <v>104</v>
      </c>
      <c r="H113" s="545">
        <f>G113+$K37</f>
        <v>105</v>
      </c>
      <c r="I113" s="583"/>
      <c r="J113" s="608"/>
      <c r="K113" s="608"/>
      <c r="L113" s="608"/>
      <c r="M113" s="609"/>
      <c r="N113" s="1156"/>
      <c r="O113" s="1156"/>
      <c r="P113" s="2634"/>
      <c r="Q113" s="560"/>
    </row>
    <row r="114" spans="1:17" ht="15" thickTop="1">
      <c r="A114" s="600"/>
      <c r="B114" s="539" t="s">
        <v>2614</v>
      </c>
      <c r="C114" s="2938" t="s">
        <v>3125</v>
      </c>
      <c r="D114" s="2938" t="s">
        <v>3117</v>
      </c>
      <c r="E114" s="584"/>
      <c r="F114" s="584"/>
      <c r="G114" s="584"/>
      <c r="H114" s="584"/>
      <c r="I114" s="584"/>
      <c r="J114" s="584"/>
      <c r="K114" s="585"/>
      <c r="L114" s="586"/>
      <c r="M114" s="587"/>
      <c r="N114" s="1154"/>
      <c r="O114" s="1154"/>
      <c r="P114" s="2633"/>
      <c r="Q114" s="505"/>
    </row>
    <row r="115" spans="1:17" ht="15.75" thickBot="1">
      <c r="A115" s="535"/>
      <c r="B115" s="544"/>
      <c r="C115" s="545">
        <v>100</v>
      </c>
      <c r="D115" s="545">
        <f t="shared" ref="D115:M115" si="27">C115-$K38</f>
        <v>99</v>
      </c>
      <c r="E115" s="545">
        <f t="shared" si="27"/>
        <v>98</v>
      </c>
      <c r="F115" s="545">
        <f t="shared" si="27"/>
        <v>97</v>
      </c>
      <c r="G115" s="545">
        <f t="shared" si="27"/>
        <v>96</v>
      </c>
      <c r="H115" s="545">
        <f t="shared" si="27"/>
        <v>95</v>
      </c>
      <c r="I115" s="545">
        <f t="shared" si="27"/>
        <v>94</v>
      </c>
      <c r="J115" s="545">
        <f t="shared" si="27"/>
        <v>93</v>
      </c>
      <c r="K115" s="545">
        <f t="shared" si="27"/>
        <v>92</v>
      </c>
      <c r="L115" s="545">
        <f t="shared" si="27"/>
        <v>91</v>
      </c>
      <c r="M115" s="545">
        <f t="shared" si="27"/>
        <v>90</v>
      </c>
      <c r="N115" s="1155"/>
      <c r="O115" s="1155"/>
      <c r="P115" s="2633"/>
      <c r="Q115" s="505"/>
    </row>
    <row r="116" spans="1:17" ht="15" thickTop="1">
      <c r="A116" s="600"/>
      <c r="B116" s="539" t="s">
        <v>2615</v>
      </c>
      <c r="C116" s="2938" t="s">
        <v>3127</v>
      </c>
      <c r="D116" s="555"/>
      <c r="E116" s="555"/>
      <c r="F116" s="555"/>
      <c r="G116" s="555"/>
      <c r="H116" s="584"/>
      <c r="I116" s="584"/>
      <c r="J116" s="584"/>
      <c r="K116" s="585"/>
      <c r="L116" s="586"/>
      <c r="M116" s="587"/>
      <c r="N116" s="1154"/>
      <c r="O116" s="1154"/>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5"/>
      <c r="O117" s="1155"/>
      <c r="P117" s="2633"/>
      <c r="Q117" s="505"/>
    </row>
    <row r="118" spans="1:17" ht="15" thickTop="1">
      <c r="A118" s="600"/>
      <c r="B118" s="539" t="s">
        <v>2616</v>
      </c>
      <c r="C118" s="584"/>
      <c r="D118" s="584"/>
      <c r="E118" s="584"/>
      <c r="F118" s="584"/>
      <c r="G118" s="584"/>
      <c r="H118" s="584"/>
      <c r="I118" s="584"/>
      <c r="J118" s="584"/>
      <c r="K118" s="585"/>
      <c r="L118" s="586"/>
      <c r="M118" s="587"/>
      <c r="N118" s="1154"/>
      <c r="O118" s="1154"/>
      <c r="P118" s="2633"/>
      <c r="Q118" s="505"/>
    </row>
    <row r="119" spans="1:17" ht="15.75" thickBot="1">
      <c r="A119" s="535"/>
      <c r="B119" s="544"/>
      <c r="C119" s="545">
        <v>100</v>
      </c>
      <c r="D119" s="545">
        <f t="shared" ref="D119:M119" si="28">C119-$K40</f>
        <v>98</v>
      </c>
      <c r="E119" s="545">
        <f t="shared" si="28"/>
        <v>96</v>
      </c>
      <c r="F119" s="545">
        <f t="shared" si="28"/>
        <v>94</v>
      </c>
      <c r="G119" s="545">
        <f t="shared" si="28"/>
        <v>92</v>
      </c>
      <c r="H119" s="545">
        <f t="shared" si="28"/>
        <v>90</v>
      </c>
      <c r="I119" s="545">
        <f t="shared" si="28"/>
        <v>88</v>
      </c>
      <c r="J119" s="545">
        <f t="shared" si="28"/>
        <v>86</v>
      </c>
      <c r="K119" s="545">
        <f t="shared" si="28"/>
        <v>84</v>
      </c>
      <c r="L119" s="545">
        <f t="shared" si="28"/>
        <v>82</v>
      </c>
      <c r="M119" s="545">
        <f t="shared" si="28"/>
        <v>80</v>
      </c>
      <c r="N119" s="1155"/>
      <c r="O119" s="1155"/>
      <c r="P119" s="2633"/>
      <c r="Q119" s="505"/>
    </row>
    <row r="120" spans="1:17" s="472" customFormat="1" ht="28.5" thickTop="1">
      <c r="A120" s="594"/>
      <c r="B120" s="539" t="s">
        <v>2572</v>
      </c>
      <c r="C120" s="555"/>
      <c r="D120" s="555"/>
      <c r="E120" s="555"/>
      <c r="F120" s="555"/>
      <c r="G120" s="555"/>
      <c r="H120" s="555"/>
      <c r="I120" s="555"/>
      <c r="J120" s="555"/>
      <c r="K120" s="555"/>
      <c r="L120" s="581"/>
      <c r="M120" s="582"/>
      <c r="N120" s="1156"/>
      <c r="O120" s="1156"/>
      <c r="P120" s="2634"/>
      <c r="Q120" s="560"/>
    </row>
    <row r="121" spans="1:17" s="472" customFormat="1" ht="15.75" thickBot="1">
      <c r="A121" s="554"/>
      <c r="B121" s="536"/>
      <c r="C121" s="561"/>
      <c r="D121" s="537"/>
      <c r="E121" s="537"/>
      <c r="F121" s="537"/>
      <c r="G121" s="537"/>
      <c r="H121" s="537"/>
      <c r="I121" s="537"/>
      <c r="J121" s="537"/>
      <c r="K121" s="537"/>
      <c r="L121" s="537"/>
      <c r="M121" s="537"/>
      <c r="N121" s="1156"/>
      <c r="O121" s="1156"/>
      <c r="P121" s="2634"/>
      <c r="Q121" s="560"/>
    </row>
    <row r="122" spans="1:17" ht="15" thickTop="1">
      <c r="A122" s="600"/>
      <c r="B122" s="539" t="s">
        <v>2617</v>
      </c>
      <c r="C122" s="2938" t="s">
        <v>3119</v>
      </c>
      <c r="D122" s="2938" t="s">
        <v>3121</v>
      </c>
      <c r="E122" s="2938" t="s">
        <v>3122</v>
      </c>
      <c r="F122" s="2941" t="s">
        <v>3123</v>
      </c>
      <c r="G122" s="584"/>
      <c r="H122" s="584"/>
      <c r="I122" s="584"/>
      <c r="J122" s="584"/>
      <c r="K122" s="585"/>
      <c r="L122" s="586"/>
      <c r="M122" s="587"/>
      <c r="N122" s="1154"/>
      <c r="O122" s="1154"/>
      <c r="P122" s="2633"/>
      <c r="Q122" s="505"/>
    </row>
    <row r="123" spans="1:17" ht="15.75" thickBot="1">
      <c r="A123" s="535"/>
      <c r="B123" s="544"/>
      <c r="C123" s="545">
        <v>100</v>
      </c>
      <c r="D123" s="545">
        <f t="shared" ref="D123:M123" si="29">C123-$K42</f>
        <v>98</v>
      </c>
      <c r="E123" s="545">
        <f t="shared" si="29"/>
        <v>96</v>
      </c>
      <c r="F123" s="545">
        <f t="shared" si="29"/>
        <v>94</v>
      </c>
      <c r="G123" s="545">
        <f t="shared" si="29"/>
        <v>92</v>
      </c>
      <c r="H123" s="545">
        <f t="shared" si="29"/>
        <v>90</v>
      </c>
      <c r="I123" s="545">
        <f t="shared" si="29"/>
        <v>88</v>
      </c>
      <c r="J123" s="545">
        <f t="shared" si="29"/>
        <v>86</v>
      </c>
      <c r="K123" s="545">
        <f t="shared" si="29"/>
        <v>84</v>
      </c>
      <c r="L123" s="545">
        <f t="shared" si="29"/>
        <v>82</v>
      </c>
      <c r="M123" s="545">
        <f t="shared" si="29"/>
        <v>80</v>
      </c>
      <c r="N123" s="1155"/>
      <c r="O123" s="1155"/>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4"/>
      <c r="O124" s="1154"/>
      <c r="P124" s="2634"/>
      <c r="Q124" s="505"/>
    </row>
    <row r="125" spans="1:17" ht="15.75" thickBot="1">
      <c r="A125" s="535"/>
      <c r="B125" s="544"/>
      <c r="C125" s="545">
        <v>100</v>
      </c>
      <c r="D125" s="545">
        <f>C125-$K43</f>
        <v>99</v>
      </c>
      <c r="E125" s="545">
        <f>D125-$K43</f>
        <v>98</v>
      </c>
      <c r="F125" s="545">
        <f>E125-$K43</f>
        <v>97</v>
      </c>
      <c r="G125" s="545">
        <f>F125-$K43</f>
        <v>96</v>
      </c>
      <c r="H125" s="545"/>
      <c r="I125" s="545"/>
      <c r="J125" s="545"/>
      <c r="K125" s="545"/>
      <c r="L125" s="545"/>
      <c r="M125" s="546"/>
      <c r="N125" s="1155"/>
      <c r="O125" s="1155"/>
      <c r="P125" s="2633"/>
      <c r="Q125" s="505"/>
    </row>
    <row r="126" spans="1:17" s="472" customFormat="1" ht="15" thickTop="1">
      <c r="A126" s="594"/>
      <c r="B126" s="539">
        <f>B44</f>
        <v>111</v>
      </c>
      <c r="C126" s="555"/>
      <c r="D126" s="555"/>
      <c r="E126" s="555"/>
      <c r="F126" s="555"/>
      <c r="G126" s="555"/>
      <c r="H126" s="556"/>
      <c r="I126" s="556"/>
      <c r="J126" s="556"/>
      <c r="K126" s="556"/>
      <c r="L126" s="557"/>
      <c r="M126" s="558"/>
      <c r="N126" s="1156"/>
      <c r="O126" s="1156"/>
      <c r="P126" s="2634"/>
      <c r="Q126" s="560"/>
    </row>
    <row r="127" spans="1:17" s="472" customFormat="1" ht="15.75" thickBot="1">
      <c r="A127" s="554"/>
      <c r="B127" s="544"/>
      <c r="C127" s="561"/>
      <c r="D127" s="537"/>
      <c r="E127" s="537"/>
      <c r="F127" s="537"/>
      <c r="G127" s="561"/>
      <c r="H127" s="563"/>
      <c r="I127" s="563"/>
      <c r="J127" s="563"/>
      <c r="K127" s="563"/>
      <c r="L127" s="563"/>
      <c r="M127" s="564"/>
      <c r="N127" s="1156"/>
      <c r="O127" s="1156"/>
      <c r="P127" s="2634"/>
      <c r="Q127" s="560"/>
    </row>
    <row r="128" spans="1:17" ht="15" thickTop="1">
      <c r="A128" s="600"/>
      <c r="B128" s="539">
        <f>B45</f>
        <v>111</v>
      </c>
      <c r="C128" s="555"/>
      <c r="D128" s="555"/>
      <c r="E128" s="555"/>
      <c r="F128" s="555"/>
      <c r="G128" s="584"/>
      <c r="H128" s="584"/>
      <c r="I128" s="584"/>
      <c r="J128" s="584"/>
      <c r="K128" s="585"/>
      <c r="L128" s="586"/>
      <c r="M128" s="587"/>
      <c r="N128" s="1154"/>
      <c r="O128" s="1154"/>
      <c r="P128" s="2633"/>
      <c r="Q128" s="505"/>
    </row>
    <row r="129" spans="1:17" ht="15.75" thickBot="1">
      <c r="A129" s="535"/>
      <c r="B129" s="544"/>
      <c r="C129" s="561"/>
      <c r="D129" s="561"/>
      <c r="E129" s="561"/>
      <c r="F129" s="561"/>
      <c r="G129" s="537"/>
      <c r="H129" s="537"/>
      <c r="I129" s="537"/>
      <c r="J129" s="537"/>
      <c r="K129" s="537"/>
      <c r="L129" s="537"/>
      <c r="M129" s="538"/>
      <c r="N129" s="1155"/>
      <c r="O129" s="1155"/>
      <c r="P129" s="2633"/>
      <c r="Q129" s="505"/>
    </row>
    <row r="130" spans="1:17" ht="15" thickTop="1">
      <c r="A130" s="600"/>
      <c r="B130" s="547">
        <f>B46</f>
        <v>111</v>
      </c>
      <c r="C130" s="555"/>
      <c r="D130" s="555"/>
      <c r="E130" s="555"/>
      <c r="F130" s="555"/>
      <c r="G130" s="588"/>
      <c r="H130" s="588"/>
      <c r="I130" s="588"/>
      <c r="J130" s="588"/>
      <c r="K130" s="524"/>
      <c r="L130" s="525"/>
      <c r="M130" s="591"/>
      <c r="N130" s="1154"/>
      <c r="O130" s="1154"/>
      <c r="P130" s="2633"/>
      <c r="Q130" s="505"/>
    </row>
    <row r="131" spans="1:17" ht="15.75" thickBot="1">
      <c r="A131" s="2639"/>
      <c r="B131" s="570"/>
      <c r="C131" s="571"/>
      <c r="D131" s="571"/>
      <c r="E131" s="571"/>
      <c r="F131" s="571"/>
      <c r="G131" s="592"/>
      <c r="H131" s="592"/>
      <c r="I131" s="592"/>
      <c r="J131" s="592"/>
      <c r="K131" s="592"/>
      <c r="L131" s="592"/>
      <c r="M131" s="593"/>
      <c r="N131" s="1155"/>
      <c r="O131" s="1155"/>
      <c r="P131" s="2633"/>
      <c r="Q131" s="505"/>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6">
        <v>6</v>
      </c>
      <c r="C139" s="1087">
        <v>96</v>
      </c>
      <c r="D139" s="2651" t="s">
        <v>2628</v>
      </c>
      <c r="E139" s="1088">
        <v>100</v>
      </c>
      <c r="F139" s="1089">
        <v>102.5</v>
      </c>
      <c r="G139" s="2651" t="s">
        <v>2628</v>
      </c>
      <c r="H139" s="1090">
        <v>105</v>
      </c>
      <c r="I139" s="2652" t="s">
        <v>2629</v>
      </c>
      <c r="J139" s="1087">
        <v>20</v>
      </c>
      <c r="K139" s="1091">
        <f>C145/(J139-2)</f>
        <v>4.0555555555555553E-3</v>
      </c>
    </row>
    <row r="140" spans="1:17" ht="15">
      <c r="B140" s="1092">
        <v>5</v>
      </c>
      <c r="C140" s="1093">
        <v>100</v>
      </c>
      <c r="D140" s="1093"/>
      <c r="E140" s="1094"/>
      <c r="F140" s="1095">
        <v>102</v>
      </c>
      <c r="G140" s="1093"/>
      <c r="H140" s="1096"/>
      <c r="I140" s="2653" t="s">
        <v>2630</v>
      </c>
      <c r="J140" s="316">
        <f>ROUNDUP((J139-1)/2,0)</f>
        <v>10</v>
      </c>
      <c r="K140" s="1097">
        <v>100</v>
      </c>
    </row>
    <row r="141" spans="1:17" ht="15">
      <c r="B141" s="1092">
        <v>4</v>
      </c>
      <c r="C141" s="1093">
        <v>102</v>
      </c>
      <c r="D141" s="1093"/>
      <c r="E141" s="1094"/>
      <c r="F141" s="1095">
        <v>101.5</v>
      </c>
      <c r="G141" s="1093"/>
      <c r="H141" s="1096"/>
      <c r="I141" s="2653" t="s">
        <v>2631</v>
      </c>
      <c r="J141" s="316">
        <v>1</v>
      </c>
      <c r="K141" s="1098">
        <f>ROUND(100+(J141-J140)*K139*100,1)</f>
        <v>96.4</v>
      </c>
    </row>
    <row r="142" spans="1:17" ht="15">
      <c r="B142" s="1092">
        <v>3</v>
      </c>
      <c r="C142" s="1093">
        <v>103</v>
      </c>
      <c r="D142" s="1093"/>
      <c r="E142" s="1094"/>
      <c r="F142" s="1095">
        <v>101</v>
      </c>
      <c r="G142" s="1093"/>
      <c r="H142" s="1096"/>
      <c r="I142" s="2653" t="s">
        <v>2632</v>
      </c>
      <c r="J142" s="316">
        <f>J139</f>
        <v>20</v>
      </c>
      <c r="K142" s="1099">
        <v>95</v>
      </c>
    </row>
    <row r="143" spans="1:17" ht="15">
      <c r="B143" s="1092">
        <v>2</v>
      </c>
      <c r="C143" s="1093">
        <v>100</v>
      </c>
      <c r="D143" s="1093"/>
      <c r="E143" s="1094"/>
      <c r="F143" s="1095">
        <v>100.5</v>
      </c>
      <c r="G143" s="1093"/>
      <c r="H143" s="1096"/>
      <c r="I143" s="2653" t="s">
        <v>2633</v>
      </c>
      <c r="J143" s="1093">
        <v>15</v>
      </c>
      <c r="K143" s="1098">
        <f>ROUND(100+(J143-J140)*K139*100,1)</f>
        <v>102</v>
      </c>
    </row>
    <row r="144" spans="1:17" ht="15">
      <c r="B144" s="1092">
        <v>1</v>
      </c>
      <c r="C144" s="1093">
        <v>98</v>
      </c>
      <c r="D144" s="2654" t="s">
        <v>2634</v>
      </c>
      <c r="E144" s="1094">
        <v>102</v>
      </c>
      <c r="F144" s="1100">
        <v>100</v>
      </c>
      <c r="G144" s="2654" t="s">
        <v>2634</v>
      </c>
      <c r="H144" s="1096">
        <v>105</v>
      </c>
      <c r="I144" s="2653" t="s">
        <v>2633</v>
      </c>
      <c r="J144" s="1093">
        <v>18</v>
      </c>
      <c r="K144" s="1098">
        <f>ROUND(100+(J144-J140)*K139*100,1)</f>
        <v>103.2</v>
      </c>
    </row>
    <row r="145" spans="2:11" ht="15.75" thickBot="1">
      <c r="B145" s="2655" t="s">
        <v>2635</v>
      </c>
      <c r="C145" s="1101">
        <f>ROUND(MAX(C139:C144)/MIN(C139:C144)-1,3)</f>
        <v>7.2999999999999995E-2</v>
      </c>
      <c r="D145" s="1102"/>
      <c r="E145" s="1102"/>
      <c r="F145" s="2656" t="s">
        <v>2636</v>
      </c>
      <c r="G145" s="2657"/>
      <c r="H145" s="2658"/>
      <c r="I145" s="2659" t="s">
        <v>2633</v>
      </c>
      <c r="J145" s="1103">
        <v>8</v>
      </c>
      <c r="K145" s="1104">
        <f>ROUND(100+(J145-J140)*K139*100,1)</f>
        <v>99.2</v>
      </c>
    </row>
    <row r="147" spans="2:11">
      <c r="B147" s="2640" t="s">
        <v>2637</v>
      </c>
    </row>
    <row r="148" spans="2:11">
      <c r="B148" s="2640" t="s">
        <v>2638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7" priority="14" stopIfTrue="1" operator="containsText" text="超过">
      <formula>NOT(ISERROR(SEARCH("超过",F52)))</formula>
    </cfRule>
  </conditionalFormatting>
  <conditionalFormatting sqref="J54">
    <cfRule type="containsText" dxfId="126" priority="13" stopIfTrue="1" operator="containsText" text="超过">
      <formula>NOT(ISERROR(SEARCH("超过",J54)))</formula>
    </cfRule>
  </conditionalFormatting>
  <conditionalFormatting sqref="H54">
    <cfRule type="containsText" dxfId="125" priority="12" stopIfTrue="1" operator="containsText" text="超过">
      <formula>NOT(ISERROR(SEARCH("超过",H54)))</formula>
    </cfRule>
  </conditionalFormatting>
  <conditionalFormatting sqref="F54">
    <cfRule type="containsText" dxfId="124" priority="11" stopIfTrue="1" operator="containsText" text="超过">
      <formula>NOT(ISERROR(SEARCH("超过",F54)))</formula>
    </cfRule>
  </conditionalFormatting>
  <conditionalFormatting sqref="F53 H53 J53">
    <cfRule type="containsText" dxfId="123" priority="10" stopIfTrue="1" operator="containsText" text="超过">
      <formula>NOT(ISERROR(SEARCH("超过",F53)))</formula>
    </cfRule>
  </conditionalFormatting>
  <conditionalFormatting sqref="E52">
    <cfRule type="expression" dxfId="122" priority="9"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1"/>
      <c r="C1" s="1840"/>
      <c r="D1" s="1823"/>
      <c r="E1" s="1824" t="s">
        <v>1388</v>
      </c>
      <c r="F1" s="1285" t="b">
        <f>J53</f>
        <v>0</v>
      </c>
      <c r="G1" s="1839">
        <f>MATCH(C1,'数据-取费表'!A6:A16,0)+5</f>
        <v>7</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3"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4">
        <f ca="1">C6+C10+C12</f>
        <v>0</v>
      </c>
      <c r="D5" s="1825" t="s">
        <v>1403</v>
      </c>
      <c r="E5" s="1295"/>
      <c r="F5" s="1296"/>
      <c r="G5" s="1854"/>
      <c r="H5" s="345">
        <v>1</v>
      </c>
      <c r="I5" s="346" t="s">
        <v>1402</v>
      </c>
      <c r="J5" s="1294">
        <f ca="1">J6+J10+J12</f>
        <v>0</v>
      </c>
      <c r="K5" s="1825" t="s">
        <v>1403</v>
      </c>
      <c r="L5" s="1295"/>
      <c r="M5" s="1296"/>
    </row>
    <row r="6" spans="1:37" ht="18" customHeight="1">
      <c r="A6" s="1293" t="s">
        <v>1035</v>
      </c>
      <c r="B6" s="3193" t="s">
        <v>1404</v>
      </c>
      <c r="C6" s="1298">
        <f ca="1">ROUND(F6*F8*F7*(1-F9)/10000,0)</f>
        <v>0</v>
      </c>
      <c r="D6" s="165" t="s">
        <v>3030</v>
      </c>
      <c r="E6" s="348" t="s">
        <v>1406</v>
      </c>
      <c r="F6" s="349">
        <f ca="1">INDIRECT("'数据-取费表'!u"&amp;$G$1)</f>
        <v>0</v>
      </c>
      <c r="G6" s="1854"/>
      <c r="H6" s="1293" t="s">
        <v>1035</v>
      </c>
      <c r="I6" s="3193" t="s">
        <v>1404</v>
      </c>
      <c r="J6" s="347">
        <f ca="1">ROUND(M6*M8*M7*(1-M9)/10000,0)</f>
        <v>0</v>
      </c>
      <c r="K6" s="165" t="s">
        <v>3029</v>
      </c>
      <c r="L6" s="348" t="s">
        <v>1406</v>
      </c>
      <c r="M6" s="349">
        <f ca="1">INDIRECT("'数据-取费表'!z"&amp;$G$1)</f>
        <v>0</v>
      </c>
    </row>
    <row r="7" spans="1:37" ht="18" customHeight="1">
      <c r="A7" s="1297"/>
      <c r="B7" s="3194"/>
      <c r="C7" s="1299"/>
      <c r="D7" s="353"/>
      <c r="E7" s="1300" t="s">
        <v>1407</v>
      </c>
      <c r="F7" s="349">
        <f ca="1">IF(INDIRECT("'数据-取费表'!ah"&amp;$G$1)="",INDIRECT("'数据-取费表'!k"&amp;$G$1),INDIRECT("'数据-取费表'!ah"&amp;$G$1))</f>
        <v>0</v>
      </c>
      <c r="G7" s="1854"/>
      <c r="H7" s="350"/>
      <c r="I7" s="3194"/>
      <c r="J7" s="352"/>
      <c r="K7" s="353"/>
      <c r="L7" s="348" t="s">
        <v>1407</v>
      </c>
      <c r="M7" s="349">
        <f ca="1">F7</f>
        <v>0</v>
      </c>
    </row>
    <row r="8" spans="1:37" ht="18" customHeight="1">
      <c r="A8" s="350"/>
      <c r="B8" s="3194"/>
      <c r="C8" s="352"/>
      <c r="D8" s="353"/>
      <c r="E8" s="348" t="s">
        <v>1408</v>
      </c>
      <c r="F8" s="349">
        <f ca="1">INDIRECT("'数据-取费表'!ai"&amp;$G$1)</f>
        <v>0</v>
      </c>
      <c r="G8" s="1854"/>
      <c r="H8" s="350"/>
      <c r="I8" s="3194"/>
      <c r="J8" s="352"/>
      <c r="K8" s="353"/>
      <c r="L8" s="348" t="s">
        <v>1408</v>
      </c>
      <c r="M8" s="349">
        <f ca="1">INDIRECT("'数据-取费表'!ai"&amp;$G$1)</f>
        <v>0</v>
      </c>
    </row>
    <row r="9" spans="1:37" ht="18" customHeight="1">
      <c r="A9" s="350"/>
      <c r="B9" s="3195"/>
      <c r="C9" s="352"/>
      <c r="D9" s="353"/>
      <c r="E9" s="348" t="s">
        <v>1409</v>
      </c>
      <c r="F9" s="358">
        <f ca="1">INDIRECT("'数据-取费表'!w"&amp;$G$1)</f>
        <v>0</v>
      </c>
      <c r="G9" s="1854"/>
      <c r="H9" s="350"/>
      <c r="I9" s="3195"/>
      <c r="J9" s="352"/>
      <c r="K9" s="353"/>
      <c r="L9" s="359" t="s">
        <v>1409</v>
      </c>
      <c r="M9" s="360">
        <f ca="1">INDIRECT("'数据-取费表'!ab"&amp;$G$1)</f>
        <v>0</v>
      </c>
    </row>
    <row r="10" spans="1:37" ht="18" customHeight="1">
      <c r="A10" s="1293" t="s">
        <v>1039</v>
      </c>
      <c r="B10" s="1826" t="s">
        <v>1410</v>
      </c>
      <c r="C10" s="362">
        <f ca="1">ROUND(IF(F10="押一",F6*F8*F7/12*F11,IF(F10="押二",F6*F8*F7/12*2*F11,IF(F10="押三",F6*F8*F7/12*3*F11,C11*F11)))/10000,0)</f>
        <v>0</v>
      </c>
      <c r="D10" s="1827" t="s">
        <v>3031</v>
      </c>
      <c r="E10" s="359" t="s">
        <v>1412</v>
      </c>
      <c r="F10" s="1368"/>
      <c r="G10" s="1854"/>
      <c r="H10" s="1293" t="s">
        <v>1039</v>
      </c>
      <c r="I10" s="1826" t="s">
        <v>1410</v>
      </c>
      <c r="J10" s="347">
        <f ca="1">ROUND(IF(M10="押一",M6*M8*M7/12*M11,IF(M10="押二",M6*M8*M7/12*2*M11,IF(M10="押三",M6*M8*M7/12*3*M11,J11*M11)))/10000,0)</f>
        <v>0</v>
      </c>
      <c r="K10" s="1827" t="s">
        <v>3032</v>
      </c>
      <c r="L10" s="359" t="s">
        <v>1412</v>
      </c>
      <c r="M10" s="1368" t="s">
        <v>1413</v>
      </c>
    </row>
    <row r="11" spans="1:37" ht="18" customHeight="1">
      <c r="A11" s="354"/>
      <c r="B11" s="1828" t="s">
        <v>1389</v>
      </c>
      <c r="C11" s="1180"/>
      <c r="D11" s="1829"/>
      <c r="E11" s="359" t="s">
        <v>1414</v>
      </c>
      <c r="F11" s="360">
        <f ca="1">'数据-取费表'!B39</f>
        <v>1.4999999999999999E-2</v>
      </c>
      <c r="G11" s="1854"/>
      <c r="H11" s="1301"/>
      <c r="I11" s="1828" t="s">
        <v>1389</v>
      </c>
      <c r="J11" s="1180"/>
      <c r="K11" s="747"/>
      <c r="L11" s="359"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6">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8" t="s">
        <v>1419</v>
      </c>
      <c r="C14" s="364">
        <f ca="1">INDIRECT("'数据-取费表'!m"&amp;$G$1)+INDIRECT("'数据-取费表'!t"&amp;$G$1)</f>
        <v>0</v>
      </c>
      <c r="D14" s="1803" t="s">
        <v>1420</v>
      </c>
      <c r="E14" s="1797"/>
      <c r="F14" s="365"/>
      <c r="G14" s="1854"/>
      <c r="H14" s="1203" t="s">
        <v>1035</v>
      </c>
      <c r="I14" s="348" t="s">
        <v>1421</v>
      </c>
      <c r="J14" s="24">
        <f ca="1">C29</f>
        <v>0</v>
      </c>
      <c r="K14" s="15"/>
      <c r="L14" s="981"/>
      <c r="M14" s="982"/>
    </row>
    <row r="15" spans="1:37" s="1861" customFormat="1" ht="18" customHeight="1" thickBot="1">
      <c r="A15" s="1203" t="s">
        <v>1036</v>
      </c>
      <c r="B15" s="348" t="s">
        <v>1422</v>
      </c>
      <c r="C15" s="24">
        <f ca="1">ROUND(C14*F15,0)</f>
        <v>0</v>
      </c>
      <c r="D15" s="366" t="s">
        <v>1423</v>
      </c>
      <c r="E15" s="366" t="s">
        <v>1424</v>
      </c>
      <c r="F15" s="367">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8" t="s">
        <v>1425</v>
      </c>
      <c r="C16" s="24">
        <f ca="1">ROUND(INDIRECT("'数据-取费表'!m"&amp;$G$1)*F16,0)</f>
        <v>0</v>
      </c>
      <c r="D16" s="348" t="s">
        <v>1423</v>
      </c>
      <c r="E16" s="348" t="s">
        <v>1424</v>
      </c>
      <c r="F16" s="368">
        <f ca="1">IF(INDIRECT("'数据-取费表'!c"&amp;$G$1)="住宅",'数据-取费表'!B34,0)</f>
        <v>0</v>
      </c>
      <c r="G16" s="1854"/>
      <c r="H16" s="1331" t="s">
        <v>1030</v>
      </c>
      <c r="I16" s="1332" t="s">
        <v>1426</v>
      </c>
      <c r="J16" s="356">
        <f ca="1">ROUND(J17+J22+J23+J24,0)</f>
        <v>0</v>
      </c>
      <c r="K16" s="1339" t="s">
        <v>1427</v>
      </c>
      <c r="L16" s="1340"/>
      <c r="M16" s="1296"/>
    </row>
    <row r="17" spans="1:37" s="1861" customFormat="1" ht="18" customHeight="1">
      <c r="A17" s="1203" t="s">
        <v>1391</v>
      </c>
      <c r="B17" s="348" t="s">
        <v>1428</v>
      </c>
      <c r="C17" s="24">
        <f ca="1">ROUND(F17*(F43+INDIRECT("'数据-取费表'!S"&amp;$G$1))/10000,0)</f>
        <v>0</v>
      </c>
      <c r="D17" s="348" t="s">
        <v>1429</v>
      </c>
      <c r="E17" s="348" t="s">
        <v>1430</v>
      </c>
      <c r="F17" s="26">
        <f>'数据-取费表'!B35</f>
        <v>200</v>
      </c>
      <c r="G17" s="1857"/>
      <c r="H17" s="1203"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8" t="s">
        <v>1434</v>
      </c>
      <c r="C18" s="24">
        <f ca="1">ROUND(C14*F18,0)</f>
        <v>0</v>
      </c>
      <c r="D18" s="348" t="s">
        <v>1423</v>
      </c>
      <c r="E18" s="348" t="s">
        <v>1424</v>
      </c>
      <c r="F18" s="368">
        <f>'数据-取费表'!B36</f>
        <v>1.4999999999999999E-2</v>
      </c>
      <c r="G18" s="1857"/>
      <c r="H18" s="1203"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8" t="s">
        <v>1437</v>
      </c>
      <c r="C19" s="24">
        <f ca="1">SUM(C14:C18)</f>
        <v>0</v>
      </c>
      <c r="D19" s="140" t="s">
        <v>1438</v>
      </c>
      <c r="E19" s="1821"/>
      <c r="F19" s="26"/>
      <c r="G19" s="1854"/>
      <c r="H19" s="1203"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3" t="s">
        <v>1039</v>
      </c>
      <c r="B20" s="348" t="s">
        <v>1441</v>
      </c>
      <c r="C20" s="24">
        <f ca="1">ROUND(C19*F20,0)</f>
        <v>0</v>
      </c>
      <c r="D20" s="370" t="s">
        <v>1442</v>
      </c>
      <c r="E20" s="348" t="s">
        <v>1424</v>
      </c>
      <c r="F20" s="368">
        <f>'数据-取费表'!B37</f>
        <v>0.02</v>
      </c>
      <c r="G20" s="1857"/>
      <c r="H20" s="1203" t="s">
        <v>1390</v>
      </c>
      <c r="I20" s="165" t="s">
        <v>1443</v>
      </c>
      <c r="J20" s="25">
        <f ca="1">ROUND(M20*M21/10000,2)</f>
        <v>0</v>
      </c>
      <c r="K20" s="371" t="s">
        <v>1444</v>
      </c>
      <c r="L20" s="348" t="s">
        <v>1445</v>
      </c>
      <c r="M20" s="372">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8" t="s">
        <v>1446</v>
      </c>
      <c r="C21" s="24" t="s">
        <v>18</v>
      </c>
      <c r="D21" s="370" t="s">
        <v>1447</v>
      </c>
      <c r="E21" s="348" t="s">
        <v>1448</v>
      </c>
      <c r="F21" s="368">
        <f>'数据-取费表'!B38</f>
        <v>0.02</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8" t="s">
        <v>1450</v>
      </c>
      <c r="C22" s="24"/>
      <c r="D22" s="140" t="str">
        <f>IF(F23&lt;=1,"单利计息。","复利计息。")&amp;"建造成本、管理费用、销售费用产生的利息。"</f>
        <v>复利计息。建造成本、管理费用、销售费用产生的利息。</v>
      </c>
      <c r="E22" s="1821"/>
      <c r="F22" s="26"/>
      <c r="G22" s="1854"/>
      <c r="H22" s="1203" t="s">
        <v>1039</v>
      </c>
      <c r="I22" s="348" t="s">
        <v>1451</v>
      </c>
      <c r="J22" s="24">
        <f ca="1">ROUND(J14*M22,1)</f>
        <v>0</v>
      </c>
      <c r="K22" s="1801" t="s">
        <v>1452</v>
      </c>
      <c r="L22" s="348" t="s">
        <v>1424</v>
      </c>
      <c r="M22" s="375">
        <f ca="1">INDIRECT("'数据-取费表'!Ak"&amp;$G$1)</f>
        <v>0</v>
      </c>
    </row>
    <row r="23" spans="1:37" s="1861" customFormat="1" ht="18" customHeight="1">
      <c r="A23" s="1203"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3"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8" t="s">
        <v>1463</v>
      </c>
      <c r="C25" s="24"/>
      <c r="D25" s="140" t="s">
        <v>1464</v>
      </c>
      <c r="E25" s="1821"/>
      <c r="F25" s="26"/>
      <c r="G25" s="1854"/>
      <c r="H25" s="1331" t="s">
        <v>1031</v>
      </c>
      <c r="I25" s="1346" t="s">
        <v>1465</v>
      </c>
      <c r="J25" s="356">
        <f ca="1">J5-J16</f>
        <v>0</v>
      </c>
      <c r="K25" s="1347" t="s">
        <v>1466</v>
      </c>
      <c r="L25" s="1348"/>
      <c r="M25" s="1349"/>
    </row>
    <row r="26" spans="1:37">
      <c r="A26" s="1203"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3"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3"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6">
        <f ca="1">ROUND(C31+C36+C37+C38,0)</f>
        <v>0</v>
      </c>
      <c r="D30" s="1339" t="s">
        <v>1427</v>
      </c>
      <c r="E30" s="1340"/>
      <c r="F30" s="1296"/>
      <c r="G30" s="1854"/>
      <c r="H30" s="744"/>
      <c r="I30" s="745"/>
      <c r="J30" s="746"/>
      <c r="K30" s="747"/>
      <c r="L30" s="748"/>
      <c r="M30" s="749"/>
    </row>
    <row r="31" spans="1:37" ht="18" customHeight="1">
      <c r="A31" s="1203"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8" t="s">
        <v>1435</v>
      </c>
      <c r="C32" s="24">
        <f ca="1">IF(项目基本情况!B11="自然人","——",ROUND(C5*F32/(1+'数据-取费表'!C42),2))</f>
        <v>0</v>
      </c>
      <c r="D32" s="1801" t="s">
        <v>1436</v>
      </c>
      <c r="E32" s="348" t="s">
        <v>1424</v>
      </c>
      <c r="F32" s="378">
        <f>'数据-取费表'!B41</f>
        <v>5.6000000000000001E-2</v>
      </c>
      <c r="G32" s="1854"/>
      <c r="H32" s="744"/>
      <c r="I32" s="745"/>
      <c r="J32" s="746"/>
      <c r="K32" s="747"/>
      <c r="L32" s="748"/>
      <c r="M32" s="749"/>
    </row>
    <row r="33" spans="1:18" ht="18" customHeight="1">
      <c r="A33" s="1203"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3" t="s">
        <v>1390</v>
      </c>
      <c r="B34" s="165" t="s">
        <v>1443</v>
      </c>
      <c r="C34" s="25">
        <f ca="1">IF(项目基本情况!B11="自然人","——",ROUND(F34*F35/10000,2))</f>
        <v>0</v>
      </c>
      <c r="D34" s="371" t="s">
        <v>1444</v>
      </c>
      <c r="E34" s="348" t="s">
        <v>1445</v>
      </c>
      <c r="F34" s="372">
        <f>'数据-取费表'!B52</f>
        <v>24</v>
      </c>
      <c r="G34" s="1854"/>
      <c r="H34" s="744"/>
      <c r="I34" s="1863"/>
      <c r="J34" s="1864"/>
      <c r="K34" s="1866"/>
      <c r="L34" s="1867"/>
      <c r="M34" s="1867"/>
    </row>
    <row r="35" spans="1:18" ht="18" customHeight="1">
      <c r="A35" s="1355"/>
      <c r="B35" s="1353"/>
      <c r="C35" s="29"/>
      <c r="D35" s="374"/>
      <c r="E35" s="348" t="s">
        <v>1449</v>
      </c>
      <c r="F35" s="349">
        <f ca="1">INDIRECT("'数据-取费表'!r"&amp;$G$1)</f>
        <v>0</v>
      </c>
      <c r="G35" s="1854"/>
      <c r="H35" s="744"/>
      <c r="I35" s="1863"/>
      <c r="J35" s="1864"/>
      <c r="K35" s="1865"/>
      <c r="L35" s="1862"/>
      <c r="M35" s="1862"/>
    </row>
    <row r="36" spans="1:18" ht="18" customHeight="1">
      <c r="A36" s="1354" t="s">
        <v>1039</v>
      </c>
      <c r="B36" s="348" t="s">
        <v>1451</v>
      </c>
      <c r="C36" s="24">
        <f ca="1">ROUND(C29*F36,1)</f>
        <v>0</v>
      </c>
      <c r="D36" s="1801" t="s">
        <v>1484</v>
      </c>
      <c r="E36" s="348" t="s">
        <v>1424</v>
      </c>
      <c r="F36" s="375">
        <f ca="1">INDIRECT("'数据-取费表'!Ak"&amp;$G$1)</f>
        <v>0</v>
      </c>
      <c r="G36" s="1854"/>
      <c r="H36" s="1862"/>
      <c r="I36" s="1863"/>
      <c r="J36" s="1864"/>
      <c r="K36" s="750"/>
      <c r="L36" s="1862"/>
      <c r="M36" s="1862"/>
    </row>
    <row r="37" spans="1:18" ht="18" customHeight="1">
      <c r="A37" s="1203" t="s">
        <v>1075</v>
      </c>
      <c r="B37" s="348" t="s">
        <v>1455</v>
      </c>
      <c r="C37" s="24">
        <f ca="1">ROUND(C13*F37,1)</f>
        <v>0</v>
      </c>
      <c r="D37" s="1801" t="s">
        <v>1456</v>
      </c>
      <c r="E37" s="348" t="s">
        <v>1457</v>
      </c>
      <c r="F37" s="377">
        <f ca="1">INDIRECT("'数据-取费表'!Al"&amp;$G$1)</f>
        <v>0</v>
      </c>
      <c r="G37" s="1854"/>
      <c r="H37" s="1862"/>
      <c r="I37" s="1863"/>
      <c r="J37" s="1864"/>
      <c r="K37" s="750"/>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6">
        <f ca="1">C5-C30</f>
        <v>0</v>
      </c>
      <c r="D39" s="1347" t="s">
        <v>1486</v>
      </c>
      <c r="E39" s="1348"/>
      <c r="F39" s="1349"/>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1"/>
      <c r="I41" s="1863"/>
      <c r="J41" s="1864"/>
      <c r="K41" s="750"/>
      <c r="L41" s="731"/>
      <c r="M41" s="731"/>
    </row>
    <row r="42" spans="1:18" ht="18" customHeight="1">
      <c r="A42" s="354"/>
      <c r="B42" s="355"/>
      <c r="C42" s="356"/>
      <c r="D42" s="374"/>
      <c r="E42" s="348" t="s">
        <v>1479</v>
      </c>
      <c r="F42" s="358">
        <f ca="1">INDIRECT("'数据-取费表'!v"&amp;$G$1)</f>
        <v>0</v>
      </c>
      <c r="G42" s="1854"/>
      <c r="H42" s="731"/>
      <c r="I42" s="1863"/>
      <c r="J42" s="1864"/>
      <c r="K42" s="750"/>
      <c r="L42" s="731"/>
      <c r="M42" s="731"/>
    </row>
    <row r="43" spans="1:18" ht="18" customHeight="1" thickBot="1">
      <c r="A43" s="381" t="s">
        <v>1033</v>
      </c>
      <c r="B43" s="382" t="s">
        <v>1489</v>
      </c>
      <c r="C43" s="383" t="e">
        <f ca="1">ROUND(C40*10000/F43,0)</f>
        <v>#DIV/0!</v>
      </c>
      <c r="D43" s="384" t="s">
        <v>1490</v>
      </c>
      <c r="E43" s="385" t="s">
        <v>1491</v>
      </c>
      <c r="F43" s="386">
        <f ca="1">INDIRECT("'数据-取费表'!k"&amp;$G$1)</f>
        <v>0</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6" t="s">
        <v>1402</v>
      </c>
      <c r="C48" s="1820">
        <f ca="1">C49+C53+C55</f>
        <v>0</v>
      </c>
      <c r="D48" s="1364"/>
      <c r="E48" s="1365"/>
      <c r="F48" s="1183"/>
      <c r="G48" s="791"/>
      <c r="H48" s="792"/>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3033</v>
      </c>
      <c r="E49" s="1833" t="s">
        <v>1493</v>
      </c>
      <c r="F49" s="1283"/>
      <c r="G49" s="1894"/>
      <c r="H49" s="792"/>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2"/>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2">
        <f ca="1">ROUND(IF(F53="押一",F49*F51*F50/12*F11,IF(F53="押二",F49*F51*F50/12*2*F11,IF(F53="押三",F49*F51*F50/12*3*F11,C54*F11)))/10000,0)</f>
        <v>0</v>
      </c>
      <c r="D53" s="1827" t="s">
        <v>3031</v>
      </c>
      <c r="E53" s="359" t="s">
        <v>1412</v>
      </c>
      <c r="F53" s="1368"/>
      <c r="I53" s="1908" t="s">
        <v>1549</v>
      </c>
      <c r="J53" s="1909" t="b">
        <f>IF(M47="住宅",J51,IF(D1="——",MIN(J51,L48),IF(D1="在建（套用方法）",MIN(J51,L48-'数据-取费表'!B24),IF(D1="土地（套用方法）",MIN(J51,L48-'数据-取费表'!B20)))))</f>
        <v>0</v>
      </c>
      <c r="K53" s="3196" t="s">
        <v>1550</v>
      </c>
      <c r="L53" s="3197"/>
      <c r="O53" s="1887" t="s">
        <v>1046</v>
      </c>
      <c r="P53" s="1888" t="s">
        <v>1551</v>
      </c>
      <c r="Q53" s="1889" t="e">
        <f ca="1">Q47+Q48</f>
        <v>#DIV/0!</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79" t="s">
        <v>1426</v>
      </c>
      <c r="C58" s="362">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2">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7"/>
      <c r="C63" s="29"/>
      <c r="D63" s="1187"/>
      <c r="E63" s="1171"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8">
        <f t="shared" ca="1" si="0"/>
        <v>0</v>
      </c>
      <c r="O66" s="1887" t="s">
        <v>1041</v>
      </c>
      <c r="P66" s="1888" t="s">
        <v>1560</v>
      </c>
      <c r="Q66" s="1889" t="e">
        <f ca="1">L60</f>
        <v>#DIV/0!</v>
      </c>
      <c r="R66" s="1889" t="s">
        <v>1583</v>
      </c>
    </row>
    <row r="67" spans="1:18" s="1845" customFormat="1" ht="16.5" thickBot="1">
      <c r="A67" s="1178" t="s">
        <v>1031</v>
      </c>
      <c r="B67" s="1188" t="s">
        <v>1465</v>
      </c>
      <c r="C67" s="362">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7" t="e">
        <f ca="1">ROUND(C67*(1-((1+F70)/(1+F68))^F69)/(F68-F70),0)</f>
        <v>#DIV/0!</v>
      </c>
      <c r="D68" s="1186" t="s">
        <v>1471</v>
      </c>
      <c r="E68" s="1171" t="s">
        <v>1472</v>
      </c>
      <c r="F68" s="358">
        <f ca="1">F40</f>
        <v>0</v>
      </c>
      <c r="O68" s="1897" t="s">
        <v>1043</v>
      </c>
      <c r="P68" s="1937" t="s">
        <v>1585</v>
      </c>
      <c r="Q68" s="1889">
        <f ca="1">ROUND(Q69-Q70*Q71,0)</f>
        <v>0</v>
      </c>
      <c r="R68" s="1889" t="s">
        <v>1051</v>
      </c>
    </row>
    <row r="69" spans="1:18" s="1845" customFormat="1" ht="13.5" thickBot="1">
      <c r="A69" s="1172"/>
      <c r="B69" s="1173"/>
      <c r="C69" s="352"/>
      <c r="D69" s="1191" t="s">
        <v>1475</v>
      </c>
      <c r="E69" s="1171" t="s">
        <v>1476</v>
      </c>
      <c r="F69" s="380">
        <f ca="1">F41</f>
        <v>0</v>
      </c>
      <c r="O69" s="1897" t="s">
        <v>1048</v>
      </c>
      <c r="P69" s="1937" t="s">
        <v>1586</v>
      </c>
      <c r="Q69" s="1889">
        <f ca="1">C39</f>
        <v>0</v>
      </c>
      <c r="R69" s="1889" t="s">
        <v>1531</v>
      </c>
    </row>
    <row r="70" spans="1:18" s="1845" customFormat="1" ht="13.5" thickBot="1">
      <c r="A70" s="1175"/>
      <c r="B70" s="1176"/>
      <c r="C70" s="356"/>
      <c r="D70" s="1187"/>
      <c r="E70" s="1171" t="s">
        <v>1479</v>
      </c>
      <c r="F70" s="1277"/>
      <c r="O70" s="1897" t="s">
        <v>1049</v>
      </c>
      <c r="P70" s="1937" t="s">
        <v>1587</v>
      </c>
      <c r="Q70" s="1889">
        <f ca="1">C13</f>
        <v>0</v>
      </c>
      <c r="R70" s="1889" t="s">
        <v>1531</v>
      </c>
    </row>
    <row r="71" spans="1:18" s="1845" customFormat="1" ht="13.5" thickBot="1">
      <c r="A71" s="1192" t="s">
        <v>1033</v>
      </c>
      <c r="B71" s="1193" t="s">
        <v>1489</v>
      </c>
      <c r="C71" s="383" t="e">
        <f ca="1">ROUND(C68*10000/F71,0)</f>
        <v>#DIV/0!</v>
      </c>
      <c r="D71" s="1194" t="s">
        <v>1490</v>
      </c>
      <c r="E71" s="1195" t="s">
        <v>1491</v>
      </c>
      <c r="F71" s="386">
        <f ca="1">F43</f>
        <v>0</v>
      </c>
      <c r="O71" s="1897" t="s">
        <v>1050</v>
      </c>
      <c r="P71" s="1937" t="s">
        <v>1588</v>
      </c>
      <c r="Q71" s="1900">
        <f ca="1">C76</f>
        <v>0</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9" t="s">
        <v>1076</v>
      </c>
      <c r="B1" s="3200"/>
      <c r="C1" s="3201"/>
      <c r="D1" s="3202">
        <f>SUM(I10,I15,I20,I21,I23)</f>
        <v>0</v>
      </c>
      <c r="E1" s="3202"/>
      <c r="F1" s="3202"/>
      <c r="G1" s="3202"/>
      <c r="H1" s="3202"/>
      <c r="I1" s="3203"/>
    </row>
    <row r="2" spans="1:9">
      <c r="A2" s="3204" t="s">
        <v>1077</v>
      </c>
      <c r="B2" s="3205" t="s">
        <v>1078</v>
      </c>
      <c r="C2" s="3205"/>
      <c r="D2" s="1303" t="s">
        <v>1079</v>
      </c>
      <c r="E2" s="1303" t="s">
        <v>1080</v>
      </c>
      <c r="F2" s="1303" t="s">
        <v>1081</v>
      </c>
      <c r="G2" s="1303" t="s">
        <v>1082</v>
      </c>
      <c r="H2" s="1303" t="s">
        <v>1083</v>
      </c>
      <c r="I2" s="1304" t="s">
        <v>1084</v>
      </c>
    </row>
    <row r="3" spans="1:9">
      <c r="A3" s="3204"/>
      <c r="B3" s="3205" t="s">
        <v>1085</v>
      </c>
      <c r="C3" s="3205"/>
      <c r="D3" s="1305"/>
      <c r="E3" s="1303"/>
      <c r="F3" s="1306"/>
      <c r="G3" s="1306"/>
      <c r="H3" s="1307"/>
      <c r="I3" s="1308">
        <f>ROUND(D3*E3*F3*G3*H3/10000,0)</f>
        <v>0</v>
      </c>
    </row>
    <row r="4" spans="1:9">
      <c r="A4" s="3204"/>
      <c r="B4" s="3205" t="s">
        <v>1086</v>
      </c>
      <c r="C4" s="3205"/>
      <c r="D4" s="1305"/>
      <c r="E4" s="1303"/>
      <c r="F4" s="1306"/>
      <c r="G4" s="1306"/>
      <c r="H4" s="1307"/>
      <c r="I4" s="1308">
        <f t="shared" ref="I4:I9" si="0">ROUND(D4*E4*F4*G4*H4/10000,0)</f>
        <v>0</v>
      </c>
    </row>
    <row r="5" spans="1:9">
      <c r="A5" s="3204"/>
      <c r="B5" s="3205" t="s">
        <v>1087</v>
      </c>
      <c r="C5" s="3205"/>
      <c r="D5" s="1305"/>
      <c r="E5" s="1303"/>
      <c r="F5" s="1306"/>
      <c r="G5" s="1306"/>
      <c r="H5" s="1307"/>
      <c r="I5" s="1308">
        <f t="shared" si="0"/>
        <v>0</v>
      </c>
    </row>
    <row r="6" spans="1:9">
      <c r="A6" s="3204"/>
      <c r="B6" s="3205" t="s">
        <v>1088</v>
      </c>
      <c r="C6" s="3205"/>
      <c r="D6" s="1305"/>
      <c r="E6" s="1303"/>
      <c r="F6" s="1306"/>
      <c r="G6" s="1306"/>
      <c r="H6" s="1307"/>
      <c r="I6" s="1308">
        <f t="shared" si="0"/>
        <v>0</v>
      </c>
    </row>
    <row r="7" spans="1:9">
      <c r="A7" s="3204"/>
      <c r="B7" s="3205" t="s">
        <v>1089</v>
      </c>
      <c r="C7" s="3205"/>
      <c r="D7" s="1305"/>
      <c r="E7" s="1303"/>
      <c r="F7" s="1306"/>
      <c r="G7" s="1306"/>
      <c r="H7" s="1307"/>
      <c r="I7" s="1308">
        <f t="shared" si="0"/>
        <v>0</v>
      </c>
    </row>
    <row r="8" spans="1:9">
      <c r="A8" s="3204"/>
      <c r="B8" s="3205" t="s">
        <v>1090</v>
      </c>
      <c r="C8" s="3205"/>
      <c r="D8" s="1305"/>
      <c r="E8" s="1303"/>
      <c r="F8" s="1306"/>
      <c r="G8" s="1306"/>
      <c r="H8" s="1307"/>
      <c r="I8" s="1308">
        <f t="shared" si="0"/>
        <v>0</v>
      </c>
    </row>
    <row r="9" spans="1:9">
      <c r="A9" s="3204"/>
      <c r="B9" s="3205" t="s">
        <v>1091</v>
      </c>
      <c r="C9" s="3205"/>
      <c r="D9" s="1305"/>
      <c r="E9" s="1303"/>
      <c r="F9" s="1306"/>
      <c r="G9" s="1306"/>
      <c r="H9" s="1307"/>
      <c r="I9" s="1308">
        <f t="shared" si="0"/>
        <v>0</v>
      </c>
    </row>
    <row r="10" spans="1:9">
      <c r="A10" s="3204"/>
      <c r="B10" s="3206" t="s">
        <v>1092</v>
      </c>
      <c r="C10" s="3206"/>
      <c r="D10" s="1309"/>
      <c r="E10" s="1309" t="e">
        <f>ROUND(D1*10000/D10/H9,0)</f>
        <v>#DIV/0!</v>
      </c>
      <c r="F10" s="1310"/>
      <c r="G10" s="1310"/>
      <c r="H10" s="1311"/>
      <c r="I10" s="1312">
        <f>SUM(I3:I9)</f>
        <v>0</v>
      </c>
    </row>
    <row r="11" spans="1:9" ht="14.25">
      <c r="A11" s="3204" t="s">
        <v>1093</v>
      </c>
      <c r="B11" s="3205" t="s">
        <v>1094</v>
      </c>
      <c r="C11" s="3205"/>
      <c r="D11" s="1305" t="s">
        <v>1095</v>
      </c>
      <c r="E11" s="1305" t="s">
        <v>1096</v>
      </c>
      <c r="F11" s="1306" t="s">
        <v>1097</v>
      </c>
      <c r="G11" s="1306" t="s">
        <v>1083</v>
      </c>
      <c r="H11" s="1313" t="s">
        <v>1098</v>
      </c>
      <c r="I11" s="1304" t="s">
        <v>1084</v>
      </c>
    </row>
    <row r="12" spans="1:9">
      <c r="A12" s="3204"/>
      <c r="B12" s="3205" t="s">
        <v>1099</v>
      </c>
      <c r="C12" s="3205"/>
      <c r="D12" s="1305"/>
      <c r="E12" s="1305"/>
      <c r="F12" s="1306"/>
      <c r="G12" s="1307"/>
      <c r="H12" s="1314"/>
      <c r="I12" s="1304">
        <f>ROUND(D12*E12*F12*G12/10000,0)</f>
        <v>0</v>
      </c>
    </row>
    <row r="13" spans="1:9">
      <c r="A13" s="3204"/>
      <c r="B13" s="3205" t="s">
        <v>1100</v>
      </c>
      <c r="C13" s="3205"/>
      <c r="D13" s="1305"/>
      <c r="E13" s="1305"/>
      <c r="F13" s="1306"/>
      <c r="G13" s="1307"/>
      <c r="H13" s="1314"/>
      <c r="I13" s="1304">
        <f>ROUND(D13*E13*F13*G13/10000,0)</f>
        <v>0</v>
      </c>
    </row>
    <row r="14" spans="1:9">
      <c r="A14" s="3204"/>
      <c r="B14" s="3205" t="s">
        <v>1101</v>
      </c>
      <c r="C14" s="3205"/>
      <c r="D14" s="1305"/>
      <c r="E14" s="1305"/>
      <c r="F14" s="1306"/>
      <c r="G14" s="1307"/>
      <c r="H14" s="1314"/>
      <c r="I14" s="1304">
        <f>ROUND(D14*E14*F14*G14/10000,0)</f>
        <v>0</v>
      </c>
    </row>
    <row r="15" spans="1:9">
      <c r="A15" s="3204"/>
      <c r="B15" s="3206" t="s">
        <v>1092</v>
      </c>
      <c r="C15" s="3206"/>
      <c r="D15" s="1309"/>
      <c r="E15" s="1309">
        <f>SUM(E12:E14)</f>
        <v>0</v>
      </c>
      <c r="F15" s="1310"/>
      <c r="G15" s="1307"/>
      <c r="H15" s="1314"/>
      <c r="I15" s="1315">
        <f>SUM(I12:I14)</f>
        <v>0</v>
      </c>
    </row>
    <row r="16" spans="1:9" ht="24">
      <c r="A16" s="3204" t="s">
        <v>1102</v>
      </c>
      <c r="B16" s="3205" t="s">
        <v>1103</v>
      </c>
      <c r="C16" s="3205"/>
      <c r="D16" s="1305" t="s">
        <v>1079</v>
      </c>
      <c r="E16" s="1316" t="s">
        <v>1104</v>
      </c>
      <c r="F16" s="1306" t="s">
        <v>1105</v>
      </c>
      <c r="G16" s="1307" t="s">
        <v>1083</v>
      </c>
      <c r="H16" s="1313" t="s">
        <v>1098</v>
      </c>
      <c r="I16" s="1304" t="s">
        <v>1084</v>
      </c>
    </row>
    <row r="17" spans="1:9" ht="14.25">
      <c r="A17" s="3204"/>
      <c r="B17" s="3205" t="s">
        <v>1106</v>
      </c>
      <c r="C17" s="3205"/>
      <c r="D17" s="1305"/>
      <c r="E17" s="1305"/>
      <c r="F17" s="1306"/>
      <c r="G17" s="1307"/>
      <c r="H17" s="1317"/>
      <c r="I17" s="1318">
        <f>ROUND(D17*E17*F17*G17/10000,0)</f>
        <v>0</v>
      </c>
    </row>
    <row r="18" spans="1:9" ht="14.25">
      <c r="A18" s="3204"/>
      <c r="B18" s="3205" t="s">
        <v>1107</v>
      </c>
      <c r="C18" s="3205"/>
      <c r="D18" s="1305"/>
      <c r="E18" s="1305"/>
      <c r="F18" s="1306"/>
      <c r="G18" s="1307"/>
      <c r="H18" s="1317"/>
      <c r="I18" s="1318">
        <f>ROUND(D18*E18*F18*G18/10000,0)</f>
        <v>0</v>
      </c>
    </row>
    <row r="19" spans="1:9" ht="14.25">
      <c r="A19" s="3204"/>
      <c r="B19" s="3205" t="s">
        <v>1108</v>
      </c>
      <c r="C19" s="3205"/>
      <c r="D19" s="1305"/>
      <c r="E19" s="1305"/>
      <c r="F19" s="1306"/>
      <c r="G19" s="1307"/>
      <c r="H19" s="1317"/>
      <c r="I19" s="1318">
        <f>ROUND(D19*E19*F19*G19/10000,0)</f>
        <v>0</v>
      </c>
    </row>
    <row r="20" spans="1:9">
      <c r="A20" s="3204"/>
      <c r="B20" s="3206" t="s">
        <v>1092</v>
      </c>
      <c r="C20" s="3206"/>
      <c r="D20" s="1309">
        <f>SUM(D17:D19)</f>
        <v>0</v>
      </c>
      <c r="E20" s="1309"/>
      <c r="F20" s="1310"/>
      <c r="G20" s="1307"/>
      <c r="H20" s="1314"/>
      <c r="I20" s="1315">
        <f>SUM(I17:I19)</f>
        <v>0</v>
      </c>
    </row>
    <row r="21" spans="1:9">
      <c r="A21" s="3204" t="s">
        <v>1109</v>
      </c>
      <c r="B21" s="3208"/>
      <c r="C21" s="3208"/>
      <c r="D21" s="3208"/>
      <c r="E21" s="3208"/>
      <c r="F21" s="3208"/>
      <c r="G21" s="3208"/>
      <c r="H21" s="1768">
        <v>0.1</v>
      </c>
      <c r="I21" s="1312">
        <f>ROUND(I10*H21,0)</f>
        <v>0</v>
      </c>
    </row>
    <row r="22" spans="1:9" ht="14.25">
      <c r="A22" s="3209" t="s">
        <v>1110</v>
      </c>
      <c r="B22" s="3210"/>
      <c r="C22" s="3211"/>
      <c r="D22" s="1319" t="s">
        <v>1111</v>
      </c>
      <c r="E22" s="1319" t="s">
        <v>1112</v>
      </c>
      <c r="F22" s="1320" t="s">
        <v>1113</v>
      </c>
      <c r="G22" s="1320" t="s">
        <v>1114</v>
      </c>
      <c r="H22" s="1313" t="s">
        <v>1115</v>
      </c>
      <c r="I22" s="1304" t="s">
        <v>1116</v>
      </c>
    </row>
    <row r="23" spans="1:9" ht="14.25" thickBot="1">
      <c r="A23" s="3212"/>
      <c r="B23" s="3213"/>
      <c r="C23" s="3214"/>
      <c r="D23" s="1321"/>
      <c r="E23" s="1321"/>
      <c r="F23" s="1321"/>
      <c r="G23" s="1322"/>
      <c r="H23" s="1323"/>
      <c r="I23" s="1324">
        <f>ROUND(E23*D23*F23*(1-G23)/10000,0)</f>
        <v>0</v>
      </c>
    </row>
    <row r="26" spans="1:9">
      <c r="A26" s="1325" t="s">
        <v>1117</v>
      </c>
      <c r="B26" s="1325"/>
      <c r="C26" s="1325"/>
      <c r="D26" s="1325"/>
      <c r="E26" s="3215">
        <f>C27-C30-C31-C32</f>
        <v>0</v>
      </c>
      <c r="F26" s="3215"/>
      <c r="G26" s="3215"/>
      <c r="H26" s="1740" t="s">
        <v>1341</v>
      </c>
    </row>
    <row r="27" spans="1:9">
      <c r="A27" s="1326">
        <v>1</v>
      </c>
      <c r="B27" s="1327" t="s">
        <v>1118</v>
      </c>
      <c r="C27" s="1327">
        <f>C28+C29</f>
        <v>0</v>
      </c>
      <c r="D27" s="1327"/>
      <c r="E27" s="3216"/>
      <c r="F27" s="3216"/>
      <c r="G27" s="3216"/>
    </row>
    <row r="28" spans="1:9">
      <c r="A28" s="1328" t="s">
        <v>1119</v>
      </c>
      <c r="B28" s="1327" t="s">
        <v>1120</v>
      </c>
      <c r="C28" s="1327"/>
      <c r="D28" s="1327"/>
      <c r="E28" s="3216"/>
      <c r="F28" s="3216"/>
      <c r="G28" s="321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07"/>
      <c r="F32" s="3207"/>
      <c r="G32" s="3207"/>
    </row>
    <row r="33" spans="1:7" hidden="1">
      <c r="A33" s="3217" t="s">
        <v>1129</v>
      </c>
      <c r="B33" s="3218"/>
      <c r="C33" s="3218"/>
      <c r="D33" s="3219"/>
      <c r="E33" s="3215"/>
      <c r="F33" s="3215"/>
      <c r="G33" s="3215"/>
    </row>
    <row r="34" spans="1:7" hidden="1">
      <c r="A34" s="1330">
        <v>1</v>
      </c>
      <c r="B34" s="1327" t="s">
        <v>1130</v>
      </c>
      <c r="C34" s="1327"/>
      <c r="D34" s="1327"/>
      <c r="E34" s="3216"/>
      <c r="F34" s="3216"/>
      <c r="G34" s="3216"/>
    </row>
    <row r="35" spans="1:7" hidden="1">
      <c r="A35" s="1330">
        <v>2</v>
      </c>
      <c r="B35" s="1327" t="s">
        <v>1131</v>
      </c>
      <c r="C35" s="1327"/>
      <c r="D35" s="1327"/>
      <c r="E35" s="3216"/>
      <c r="F35" s="3216"/>
      <c r="G35" s="3216"/>
    </row>
    <row r="36" spans="1:7" hidden="1">
      <c r="A36" s="1330">
        <v>3</v>
      </c>
      <c r="B36" s="1327" t="s">
        <v>1132</v>
      </c>
      <c r="C36" s="1327"/>
      <c r="D36" s="1327"/>
      <c r="E36" s="3216"/>
      <c r="F36" s="3216"/>
      <c r="G36" s="3216"/>
    </row>
    <row r="37" spans="1:7" hidden="1">
      <c r="A37" s="1330">
        <v>4</v>
      </c>
      <c r="B37" s="1327" t="s">
        <v>1133</v>
      </c>
      <c r="C37" s="1327"/>
      <c r="D37" s="1327"/>
      <c r="E37" s="3216"/>
      <c r="F37" s="3216"/>
      <c r="G37" s="3216"/>
    </row>
    <row r="38" spans="1:7" hidden="1">
      <c r="A38" s="3217" t="s">
        <v>1134</v>
      </c>
      <c r="B38" s="3218"/>
      <c r="C38" s="3218"/>
      <c r="D38" s="3219"/>
      <c r="E38" s="3215"/>
      <c r="F38" s="3215"/>
      <c r="G38" s="32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40"/>
      <c r="C1" s="243"/>
      <c r="D1" s="243"/>
      <c r="E1" s="243"/>
      <c r="F1" s="243"/>
      <c r="G1" s="1381">
        <f>MATCH(B1,'数据-取费表'!A6:A16,0)+5</f>
        <v>7</v>
      </c>
    </row>
    <row r="2" spans="1:9" s="245" customFormat="1" ht="18" customHeight="1">
      <c r="A2" s="246" t="s">
        <v>2325</v>
      </c>
      <c r="B2" s="247">
        <f ca="1">IF(D2="——",C52,C52-E2)</f>
        <v>334</v>
      </c>
      <c r="C2" s="244" t="s">
        <v>2326</v>
      </c>
      <c r="D2" s="2550" t="s">
        <v>70</v>
      </c>
      <c r="E2" s="1442" t="e">
        <f ca="1">SUMIF(INDIRECT("'"&amp;G2&amp;"'"&amp;"!A:A"),"承租人权益价值",INDIRECT("'"&amp;G2&amp;"'"&amp;"!c:c"))</f>
        <v>#REF!</v>
      </c>
      <c r="F2" s="2551" t="s">
        <v>2326</v>
      </c>
      <c r="G2" s="2552"/>
    </row>
    <row r="3" spans="1:9" s="245" customFormat="1" ht="18" customHeight="1" thickBot="1">
      <c r="A3" s="248" t="s">
        <v>2327</v>
      </c>
      <c r="B3" s="249">
        <f ca="1">ROUND(B2*10000/(IF(B1="",'数据-汇总表'!E3,INDIRECT("'数据-取费表'!k"&amp;$G$1))),0)</f>
        <v>37596</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C6+C7+C8</f>
        <v>200</v>
      </c>
      <c r="D5" s="256" t="s">
        <v>2332</v>
      </c>
      <c r="E5" s="257" t="s">
        <v>2333</v>
      </c>
      <c r="F5" s="257" t="s">
        <v>2334</v>
      </c>
      <c r="G5" s="258"/>
    </row>
    <row r="6" spans="1:9" s="259" customFormat="1" ht="13.5" customHeight="1">
      <c r="A6" s="951" t="s">
        <v>2335</v>
      </c>
      <c r="B6" s="260" t="s">
        <v>2336</v>
      </c>
      <c r="C6" s="261"/>
      <c r="D6" s="262"/>
      <c r="E6" s="263"/>
      <c r="F6" s="263"/>
      <c r="G6" s="264"/>
    </row>
    <row r="7" spans="1:9" s="259" customFormat="1" ht="13.5" customHeight="1">
      <c r="A7" s="951" t="s">
        <v>2337</v>
      </c>
      <c r="B7" s="260" t="s">
        <v>2338</v>
      </c>
      <c r="C7" s="265">
        <f>ROUND(C6*F7,0)</f>
        <v>0</v>
      </c>
      <c r="D7" s="265"/>
      <c r="E7" s="263"/>
      <c r="F7" s="266">
        <f>'数据-取费表'!B48+'数据-取费表'!B49</f>
        <v>3.0499999999999999E-2</v>
      </c>
      <c r="G7" s="264"/>
    </row>
    <row r="8" spans="1:9" s="268" customFormat="1">
      <c r="A8" s="951" t="s">
        <v>2339</v>
      </c>
      <c r="B8" s="260" t="s">
        <v>2340</v>
      </c>
      <c r="C8" s="265">
        <f>IF(G8="已包含在土地购买价格中","0",IF(B1="",'数据-取费表'!B29,IF(G9="全部缴纳",C9+C10,H9)))</f>
        <v>200</v>
      </c>
      <c r="D8" s="267"/>
      <c r="E8" s="265"/>
      <c r="F8" s="266"/>
      <c r="G8" s="2553"/>
    </row>
    <row r="9" spans="1:9" s="259" customFormat="1" ht="13.5" customHeight="1">
      <c r="A9" s="952" t="s">
        <v>800</v>
      </c>
      <c r="B9" s="269" t="s">
        <v>2341</v>
      </c>
      <c r="C9" s="270">
        <f ca="1">ROUND(D9*E9/10000,0)</f>
        <v>2</v>
      </c>
      <c r="D9" s="1034">
        <f ca="1">IF(B1="",'数据-汇总表'!E5,IF(INDIRECT("'数据-取费表'!c"&amp;$G$1)="住宅",INDIRECT("'数据-取费表'!k"&amp;$G$1),0))</f>
        <v>88.84</v>
      </c>
      <c r="E9" s="270">
        <f>'数据-取费表'!B27</f>
        <v>200</v>
      </c>
      <c r="F9" s="266"/>
      <c r="G9" s="2554"/>
      <c r="H9" s="1392"/>
      <c r="I9" s="2555" t="s">
        <v>2342</v>
      </c>
    </row>
    <row r="10" spans="1:9" s="259" customFormat="1" ht="13.5" customHeight="1">
      <c r="A10" s="952" t="s">
        <v>801</v>
      </c>
      <c r="B10" s="269" t="s">
        <v>2343</v>
      </c>
      <c r="C10" s="270">
        <f ca="1">ROUND(D10*E10/10000,0)</f>
        <v>0</v>
      </c>
      <c r="D10" s="1034">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2344</v>
      </c>
      <c r="C11" s="256"/>
      <c r="D11" s="1036"/>
      <c r="E11" s="263"/>
      <c r="F11" s="263"/>
      <c r="G11" s="264"/>
    </row>
    <row r="12" spans="1:9" s="259" customFormat="1" ht="13.5" hidden="1" customHeight="1">
      <c r="A12" s="272" t="s">
        <v>8</v>
      </c>
      <c r="B12" s="260" t="s">
        <v>2345</v>
      </c>
      <c r="C12" s="256">
        <v>0</v>
      </c>
      <c r="D12" s="1036"/>
      <c r="E12" s="273"/>
      <c r="F12" s="266">
        <v>3.0499999999999999E-2</v>
      </c>
      <c r="G12" s="264"/>
    </row>
    <row r="13" spans="1:9" s="259" customFormat="1" ht="13.5" hidden="1" customHeight="1">
      <c r="A13" s="272" t="s">
        <v>9</v>
      </c>
      <c r="B13" s="260" t="s">
        <v>2346</v>
      </c>
      <c r="C13" s="256"/>
      <c r="D13" s="1036"/>
      <c r="E13" s="263"/>
      <c r="F13" s="263"/>
      <c r="G13" s="264"/>
    </row>
    <row r="14" spans="1:9" s="259" customFormat="1" ht="13.5" hidden="1" customHeight="1">
      <c r="A14" s="272" t="s">
        <v>10</v>
      </c>
      <c r="B14" s="260" t="s">
        <v>2347</v>
      </c>
      <c r="C14" s="256"/>
      <c r="D14" s="1036"/>
      <c r="E14" s="263"/>
      <c r="F14" s="263"/>
      <c r="G14" s="264" t="s">
        <v>2348</v>
      </c>
    </row>
    <row r="15" spans="1:9" s="259" customFormat="1" ht="13.5" hidden="1" customHeight="1">
      <c r="A15" s="272" t="s">
        <v>11</v>
      </c>
      <c r="B15" s="260" t="s">
        <v>2349</v>
      </c>
      <c r="C15" s="265"/>
      <c r="D15" s="1036"/>
      <c r="E15" s="263"/>
      <c r="F15" s="263"/>
      <c r="G15" s="264" t="s">
        <v>2350</v>
      </c>
    </row>
    <row r="16" spans="1:9" s="259" customFormat="1" ht="13.5" hidden="1" customHeight="1">
      <c r="A16" s="272" t="s">
        <v>12</v>
      </c>
      <c r="B16" s="260" t="s">
        <v>2347</v>
      </c>
      <c r="C16" s="265"/>
      <c r="D16" s="1036"/>
      <c r="E16" s="263"/>
      <c r="F16" s="263"/>
      <c r="G16" s="264"/>
    </row>
    <row r="17" spans="1:7" s="259" customFormat="1" ht="13.5" hidden="1" customHeight="1">
      <c r="A17" s="272" t="s">
        <v>13</v>
      </c>
      <c r="B17" s="260" t="s">
        <v>2351</v>
      </c>
      <c r="C17" s="274"/>
      <c r="D17" s="1037"/>
      <c r="E17" s="274"/>
      <c r="F17" s="274"/>
      <c r="G17" s="264" t="s">
        <v>2350</v>
      </c>
    </row>
    <row r="18" spans="1:7" s="259" customFormat="1" ht="13.5" hidden="1" customHeight="1">
      <c r="A18" s="272" t="s">
        <v>14</v>
      </c>
      <c r="B18" s="260" t="s">
        <v>2352</v>
      </c>
      <c r="C18" s="265">
        <v>0</v>
      </c>
      <c r="D18" s="1036"/>
      <c r="E18" s="263"/>
      <c r="F18" s="266">
        <v>3.0499999999999999E-2</v>
      </c>
      <c r="G18" s="264" t="s">
        <v>2353</v>
      </c>
    </row>
    <row r="19" spans="1:7" s="268" customFormat="1" ht="13.5" customHeight="1">
      <c r="A19" s="300" t="s">
        <v>2354</v>
      </c>
      <c r="B19" s="255" t="s">
        <v>2355</v>
      </c>
      <c r="C19" s="256">
        <f ca="1">IF(G19="已包含在土地取得成本中","0",ROUND(D19*E19/10000,0))</f>
        <v>2</v>
      </c>
      <c r="D19" s="1038">
        <f ca="1">D9+D10</f>
        <v>88.84</v>
      </c>
      <c r="E19" s="256">
        <f>'数据-取费表'!B31</f>
        <v>200</v>
      </c>
      <c r="F19" s="276"/>
      <c r="G19" s="2553"/>
    </row>
    <row r="20" spans="1:7" s="259" customFormat="1" ht="13.5" customHeight="1">
      <c r="A20" s="300" t="s">
        <v>2356</v>
      </c>
      <c r="B20" s="255" t="s">
        <v>2357</v>
      </c>
      <c r="C20" s="277">
        <f ca="1">ROUND((C5+C19)*F20,0)</f>
        <v>4</v>
      </c>
      <c r="D20" s="277"/>
      <c r="E20" s="277"/>
      <c r="F20" s="278">
        <f>'数据-取费表'!B37</f>
        <v>0.02</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6">
        <f ca="1">ROUND(SUM(C23:C25),0)</f>
        <v>19</v>
      </c>
      <c r="D22" s="280">
        <f ca="1">C26</f>
        <v>1E-3</v>
      </c>
      <c r="E22" s="281" t="s">
        <v>2361</v>
      </c>
      <c r="F22" s="282">
        <f ca="1">'数据-取费表'!B40</f>
        <v>4.7500000000000001E-2</v>
      </c>
      <c r="G22" s="279" t="str">
        <f>IF('数据-取费表'!B22&lt;=1,"单利计息","复利计息")</f>
        <v>复利计息</v>
      </c>
    </row>
    <row r="23" spans="1:7" s="259" customFormat="1" ht="13.5" customHeight="1">
      <c r="A23" s="953" t="s">
        <v>2365</v>
      </c>
      <c r="B23" s="260" t="s">
        <v>2366</v>
      </c>
      <c r="C23" s="1357">
        <f ca="1">ROUND(IF('数据-取费表'!B22&lt;=1,C5*F22*'数据-取费表'!B23,C5*(POWER((1+F22),'数据-取费表'!B23)-1)),0)</f>
        <v>19</v>
      </c>
      <c r="D23" s="283"/>
      <c r="E23" s="283"/>
      <c r="F23" s="284"/>
      <c r="G23" s="285" t="s">
        <v>2367</v>
      </c>
    </row>
    <row r="24" spans="1:7" s="259" customFormat="1" ht="13.5" customHeight="1">
      <c r="A24" s="953" t="s">
        <v>2368</v>
      </c>
      <c r="B24" s="260" t="s">
        <v>2369</v>
      </c>
      <c r="C24" s="1357">
        <f ca="1">ROUND(IF('数据-取费表'!B22&lt;=1,C19*F22*('数据-取费表'!B19/2+'数据-取费表'!B21),C19*(POWER((1+F22),('数据-取费表'!B19/2+'数据-取费表'!B21))-1)),0)</f>
        <v>0</v>
      </c>
      <c r="D24" s="283"/>
      <c r="E24" s="283"/>
      <c r="F24" s="284"/>
      <c r="G24" s="285" t="s">
        <v>2370</v>
      </c>
    </row>
    <row r="25" spans="1:7" s="259" customFormat="1" ht="24">
      <c r="A25" s="953" t="s">
        <v>2371</v>
      </c>
      <c r="B25" s="260" t="s">
        <v>2372</v>
      </c>
      <c r="C25" s="1357">
        <f ca="1">ROUND(IF('数据-取费表'!B22&lt;=1,C20*F22*'数据-取费表'!B23/2,C20*(POWER((1+F22),'数据-取费表'!B23/2)-1)),0)</f>
        <v>0</v>
      </c>
      <c r="D25" s="283"/>
      <c r="E25" s="286"/>
      <c r="F25" s="284"/>
      <c r="G25" s="287" t="s">
        <v>2373</v>
      </c>
    </row>
    <row r="26" spans="1:7" s="259" customFormat="1">
      <c r="A26" s="953" t="s">
        <v>795</v>
      </c>
      <c r="B26" s="260" t="s">
        <v>2374</v>
      </c>
      <c r="C26" s="283">
        <f ca="1">ROUND(IF('数据-取费表'!B22&lt;=1,F21*F22*'数据-取费表'!B23/2,F21*(POWER((1+F22),'数据-取费表'!B23/2)-1)),4)</f>
        <v>1E-3</v>
      </c>
      <c r="D26" s="283"/>
      <c r="E26" s="286"/>
      <c r="F26" s="284"/>
      <c r="G26" s="288"/>
    </row>
    <row r="27" spans="1:7" s="259" customFormat="1" ht="24.75">
      <c r="A27" s="300" t="s">
        <v>2375</v>
      </c>
      <c r="B27" s="289" t="s">
        <v>2376</v>
      </c>
      <c r="C27" s="290">
        <f ca="1">C28</f>
        <v>41</v>
      </c>
      <c r="D27" s="280">
        <f ca="1">C29</f>
        <v>4.0000000000000001E-3</v>
      </c>
      <c r="E27" s="281" t="s">
        <v>2377</v>
      </c>
      <c r="F27" s="291">
        <f ca="1">IF(B1="",'数据-取费表'!Q16,INDIRECT("'数据-取费表'!q"&amp;$G$1))</f>
        <v>0.2</v>
      </c>
      <c r="G27" s="292" t="s">
        <v>2378</v>
      </c>
    </row>
    <row r="28" spans="1:7" s="259" customFormat="1" ht="13.5" customHeight="1">
      <c r="A28" s="953" t="s">
        <v>791</v>
      </c>
      <c r="B28" s="293" t="s">
        <v>2379</v>
      </c>
      <c r="C28" s="294">
        <f ca="1">ROUND((C5+C19+C20)*F27*'数据-取费表'!B21/'数据-取费表'!B20,0)</f>
        <v>41</v>
      </c>
      <c r="D28" s="280"/>
      <c r="E28" s="281"/>
      <c r="F28" s="291"/>
      <c r="G28" s="292"/>
    </row>
    <row r="29" spans="1:7" s="259" customFormat="1" ht="13.5" customHeight="1">
      <c r="A29" s="953" t="s">
        <v>792</v>
      </c>
      <c r="B29" s="293" t="s">
        <v>2380</v>
      </c>
      <c r="C29" s="283">
        <f ca="1">ROUND(C21*F27*'数据-取费表'!B21/'数据-取费表'!B20,4)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289</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36</v>
      </c>
      <c r="D33" s="277"/>
      <c r="E33" s="257"/>
      <c r="F33" s="286"/>
      <c r="G33" s="279"/>
    </row>
    <row r="34" spans="1:7" s="303" customFormat="1" ht="13.5" customHeight="1">
      <c r="A34" s="953" t="s">
        <v>791</v>
      </c>
      <c r="B34" s="260" t="s">
        <v>2388</v>
      </c>
      <c r="C34" s="265">
        <f ca="1">IF(B1="",IF(F34=100%,'数据-取费表'!M16,'数据-取费表'!O16),IF(F34=100%,INDIRECT("'数据-取费表'!m"&amp;$G$1)+INDIRECT("'数据-取费表'!t"&amp;$G$1),INDIRECT("'数据-取费表'!o"&amp;$G$1)+INDIRECT("'数据-取费表'!aq"&amp;$G$1)))</f>
        <v>31</v>
      </c>
      <c r="D34" s="262"/>
      <c r="E34" s="265"/>
      <c r="F34" s="302">
        <f ca="1">IF('数据-取费表'!B24=0,1,IF(B1="",'数据-取费表'!N16,INDIRECT("'数据-取费表'!n"&amp;$G$1)))</f>
        <v>1</v>
      </c>
      <c r="G34" s="264" t="s">
        <v>2389</v>
      </c>
    </row>
    <row r="35" spans="1:7" ht="13.5" customHeight="1">
      <c r="A35" s="953" t="s">
        <v>796</v>
      </c>
      <c r="B35" s="260" t="s">
        <v>2390</v>
      </c>
      <c r="C35" s="265">
        <f ca="1">ROUND(C34*F35,0)</f>
        <v>1</v>
      </c>
      <c r="D35" s="265"/>
      <c r="E35" s="265"/>
      <c r="F35" s="304">
        <f>'数据-取费表'!B33</f>
        <v>0.03</v>
      </c>
      <c r="G35" s="264" t="s">
        <v>2391</v>
      </c>
    </row>
    <row r="36" spans="1:7" ht="24">
      <c r="A36" s="953" t="s">
        <v>797</v>
      </c>
      <c r="B36" s="260" t="s">
        <v>2392</v>
      </c>
      <c r="C36" s="265">
        <f ca="1">ROUND(IF(B1="",SUMIF('数据-取费表'!C:C,"住宅",IF(F34=100%,'数据-取费表'!M:M,'数据-取费表'!O:O))*F36,IF(INDIRECT("'数据-取费表'!c"&amp;$G$1)="住宅",IF(F34=100%,INDIRECT("'数据-取费表'!m"&amp;$G$1)*F36,INDIRECT("'数据-取费表'!o"&amp;$G$1)*F36),0)),0)</f>
        <v>2</v>
      </c>
      <c r="D36" s="265"/>
      <c r="E36" s="265"/>
      <c r="F36" s="304">
        <f>'数据-取费表'!B34</f>
        <v>0.05</v>
      </c>
      <c r="G36" s="305" t="s">
        <v>2393</v>
      </c>
    </row>
    <row r="37" spans="1:7" s="303" customFormat="1" ht="13.5" customHeight="1">
      <c r="A37" s="953" t="s">
        <v>798</v>
      </c>
      <c r="B37" s="260" t="s">
        <v>2394</v>
      </c>
      <c r="C37" s="294">
        <f ca="1">ROUND(E37*D37*F34/10000,0)</f>
        <v>2</v>
      </c>
      <c r="D37" s="262">
        <f ca="1">D19</f>
        <v>88.84</v>
      </c>
      <c r="E37" s="294">
        <f>'数据-取费表'!B35</f>
        <v>200</v>
      </c>
      <c r="F37" s="304"/>
      <c r="G37" s="306" t="s">
        <v>2395</v>
      </c>
    </row>
    <row r="38" spans="1:7" ht="13.5" customHeight="1">
      <c r="A38" s="953" t="s">
        <v>799</v>
      </c>
      <c r="B38" s="260" t="s">
        <v>2396</v>
      </c>
      <c r="C38" s="265">
        <f ca="1">ROUND(C34*F38,0)</f>
        <v>0</v>
      </c>
      <c r="D38" s="265"/>
      <c r="E38" s="265"/>
      <c r="F38" s="304">
        <f>'数据-取费表'!B36</f>
        <v>1.4999999999999999E-2</v>
      </c>
      <c r="G38" s="264" t="s">
        <v>2391</v>
      </c>
    </row>
    <row r="39" spans="1:7" s="259" customFormat="1" ht="13.5" customHeight="1">
      <c r="A39" s="300" t="s">
        <v>2397</v>
      </c>
      <c r="B39" s="255" t="s">
        <v>2398</v>
      </c>
      <c r="C39" s="277">
        <f ca="1">ROUND(C33*F20,0)</f>
        <v>1</v>
      </c>
      <c r="D39" s="277"/>
      <c r="E39" s="277"/>
      <c r="F39" s="278"/>
      <c r="G39" s="279" t="s">
        <v>2399</v>
      </c>
    </row>
    <row r="40" spans="1:7" s="259" customFormat="1" ht="13.5" customHeight="1">
      <c r="A40" s="300" t="s">
        <v>2400</v>
      </c>
      <c r="B40" s="255" t="s">
        <v>2401</v>
      </c>
      <c r="C40" s="1731">
        <f>F21</f>
        <v>0.02</v>
      </c>
      <c r="D40" s="281" t="s">
        <v>2402</v>
      </c>
      <c r="E40" s="277"/>
      <c r="F40" s="278"/>
      <c r="G40" s="279" t="s">
        <v>2403</v>
      </c>
    </row>
    <row r="41" spans="1:7" s="259" customFormat="1" ht="13.5" customHeight="1">
      <c r="A41" s="300" t="s">
        <v>2404</v>
      </c>
      <c r="B41" s="255" t="s">
        <v>2405</v>
      </c>
      <c r="C41" s="277">
        <f ca="1">ROUND(SUM(C42:C43),0)</f>
        <v>2</v>
      </c>
      <c r="D41" s="280">
        <f ca="1">C44</f>
        <v>1E-3</v>
      </c>
      <c r="E41" s="281" t="s">
        <v>2402</v>
      </c>
      <c r="F41" s="282"/>
      <c r="G41" s="279" t="str">
        <f>IF('数据-取费表'!B22&lt;=1,"单利计息","复利计息")</f>
        <v>复利计息</v>
      </c>
    </row>
    <row r="42" spans="1:7" ht="13.5" customHeight="1">
      <c r="A42" s="953" t="s">
        <v>791</v>
      </c>
      <c r="B42" s="260" t="s">
        <v>2406</v>
      </c>
      <c r="C42" s="283">
        <f ca="1">ROUND(IF('数据-取费表'!B22&lt;=1,C33*F22*'数据-取费表'!B21/2,C33*(POWER((1+F22),'数据-取费表'!B21/2)-1)),0)</f>
        <v>2</v>
      </c>
      <c r="D42" s="283"/>
      <c r="E42" s="283"/>
      <c r="F42" s="284"/>
      <c r="G42" s="3220" t="s">
        <v>2407</v>
      </c>
    </row>
    <row r="43" spans="1:7" ht="13.5" customHeight="1">
      <c r="A43" s="953" t="s">
        <v>792</v>
      </c>
      <c r="B43" s="260" t="s">
        <v>2408</v>
      </c>
      <c r="C43" s="283">
        <f ca="1">ROUND(IF('数据-取费表'!B22&lt;=1,C39*F22*'数据-取费表'!B21/2,C39*(POWER((1+F22),'数据-取费表'!B21/2)-1)),0)</f>
        <v>0</v>
      </c>
      <c r="D43" s="283"/>
      <c r="E43" s="283"/>
      <c r="F43" s="284"/>
      <c r="G43" s="3221"/>
    </row>
    <row r="44" spans="1:7" ht="13.5" customHeight="1">
      <c r="A44" s="953" t="s">
        <v>793</v>
      </c>
      <c r="B44" s="260" t="s">
        <v>2409</v>
      </c>
      <c r="C44" s="283">
        <f ca="1">ROUND(IF('数据-取费表'!B22&lt;=1,C40*F22*'数据-取费表'!B21/2,C40*(POWER((1+F22),'数据-取费表'!B21/2)-1)),4)</f>
        <v>1E-3</v>
      </c>
      <c r="D44" s="283"/>
      <c r="E44" s="283"/>
      <c r="F44" s="284"/>
      <c r="G44" s="3222"/>
    </row>
    <row r="45" spans="1:7" s="259" customFormat="1" ht="13.5" customHeight="1">
      <c r="A45" s="300" t="s">
        <v>2410</v>
      </c>
      <c r="B45" s="289" t="s">
        <v>2376</v>
      </c>
      <c r="C45" s="290">
        <f ca="1">C46</f>
        <v>7</v>
      </c>
      <c r="D45" s="280">
        <f ca="1">C47</f>
        <v>4.0000000000000001E-3</v>
      </c>
      <c r="E45" s="281" t="s">
        <v>2402</v>
      </c>
      <c r="F45" s="291"/>
      <c r="G45" s="292" t="s">
        <v>2411</v>
      </c>
    </row>
    <row r="46" spans="1:7" s="259" customFormat="1" ht="13.5" customHeight="1">
      <c r="A46" s="953" t="s">
        <v>791</v>
      </c>
      <c r="B46" s="293" t="s">
        <v>2412</v>
      </c>
      <c r="C46" s="294">
        <f ca="1">ROUND((C33+C39)*F27,0)</f>
        <v>7</v>
      </c>
      <c r="D46" s="308"/>
      <c r="E46" s="281"/>
      <c r="F46" s="291"/>
      <c r="G46" s="292"/>
    </row>
    <row r="47" spans="1:7" s="259" customFormat="1" ht="13.5" customHeight="1">
      <c r="A47" s="953" t="s">
        <v>792</v>
      </c>
      <c r="B47" s="293" t="s">
        <v>2413</v>
      </c>
      <c r="C47" s="283">
        <f ca="1">ROUND(C40*F27,4)</f>
        <v>4.0000000000000001E-3</v>
      </c>
      <c r="D47" s="308"/>
      <c r="E47" s="281"/>
      <c r="F47" s="291"/>
      <c r="G47" s="292"/>
    </row>
    <row r="48" spans="1:7" s="259" customFormat="1" ht="13.5" customHeight="1">
      <c r="A48" s="300" t="s">
        <v>2375</v>
      </c>
      <c r="B48" s="255" t="s">
        <v>2414</v>
      </c>
      <c r="C48" s="1731">
        <f>ROUND(F30/(1+'数据-取费表'!C42),4)</f>
        <v>5.33E-2</v>
      </c>
      <c r="D48" s="281" t="s">
        <v>2402</v>
      </c>
      <c r="E48" s="277"/>
      <c r="F48" s="282"/>
      <c r="G48" s="279" t="s">
        <v>2415</v>
      </c>
    </row>
    <row r="49" spans="1:7" ht="16.5" customHeight="1">
      <c r="A49" s="300" t="s">
        <v>2381</v>
      </c>
      <c r="B49" s="255" t="s">
        <v>2416</v>
      </c>
      <c r="C49" s="277">
        <f ca="1">ROUND((C33+C39+C41+C45)/(1-C40-D41-D45-C48),0)</f>
        <v>50</v>
      </c>
      <c r="D49" s="277"/>
      <c r="E49" s="277"/>
      <c r="F49" s="309"/>
      <c r="G49" s="279" t="s">
        <v>2417</v>
      </c>
    </row>
    <row r="50" spans="1:7" s="303" customFormat="1" ht="24">
      <c r="A50" s="300" t="s">
        <v>2418</v>
      </c>
      <c r="B50" s="255" t="s">
        <v>2419</v>
      </c>
      <c r="C50" s="277"/>
      <c r="D50" s="277"/>
      <c r="E50" s="277"/>
      <c r="F50" s="309">
        <f>IF('数据-取费表'!B24=0,'数据-取费表'!N16,1)</f>
        <v>0.9</v>
      </c>
      <c r="G50" s="292" t="s">
        <v>2420</v>
      </c>
    </row>
    <row r="51" spans="1:7" ht="16.5" customHeight="1">
      <c r="A51" s="300" t="s">
        <v>2421</v>
      </c>
      <c r="B51" s="255" t="s">
        <v>2422</v>
      </c>
      <c r="C51" s="277">
        <f ca="1">ROUND(C49*F50,0)</f>
        <v>45</v>
      </c>
      <c r="D51" s="277"/>
      <c r="E51" s="277"/>
      <c r="F51" s="309"/>
      <c r="G51" s="279" t="s">
        <v>2423</v>
      </c>
    </row>
    <row r="52" spans="1:7" s="253" customFormat="1" ht="16.5" thickBot="1">
      <c r="A52" s="310" t="s">
        <v>2424</v>
      </c>
      <c r="B52" s="311"/>
      <c r="C52" s="312">
        <f ca="1">C31+C51</f>
        <v>334</v>
      </c>
      <c r="D52" s="311"/>
      <c r="E52" s="311"/>
      <c r="F52" s="311"/>
      <c r="G52" s="313"/>
    </row>
    <row r="55" spans="1:7" ht="15">
      <c r="B55" s="315" t="s">
        <v>2425</v>
      </c>
      <c r="C55" s="316"/>
    </row>
    <row r="56" spans="1:7">
      <c r="B56" s="318" t="s">
        <v>1515</v>
      </c>
      <c r="C56" s="320">
        <f ca="1">1-C57</f>
        <v>0.86499999999999999</v>
      </c>
    </row>
    <row r="57" spans="1:7">
      <c r="B57" s="318" t="s">
        <v>1516</v>
      </c>
      <c r="C57" s="319">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3" activePane="bottomLeft" state="frozen"/>
      <selection activeCell="C50" sqref="C50"/>
      <selection pane="bottomLeft" activeCell="R24" sqref="R24:S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4"/>
    <col min="46" max="16384" width="9" style="139"/>
  </cols>
  <sheetData>
    <row r="1" spans="1:45" ht="14.25" customHeight="1" thickBot="1">
      <c r="A1" s="156"/>
      <c r="B1" s="1206" t="s">
        <v>3004</v>
      </c>
      <c r="C1" s="3224" t="s">
        <v>3005</v>
      </c>
      <c r="D1" s="3225"/>
      <c r="E1" s="3225"/>
      <c r="F1" s="3225"/>
      <c r="G1" s="3225"/>
      <c r="H1" s="3225"/>
      <c r="I1" s="3225"/>
      <c r="J1" s="3225"/>
      <c r="K1" s="3225"/>
      <c r="L1" s="3225"/>
      <c r="M1" s="3225"/>
      <c r="N1" s="3225"/>
      <c r="O1" s="3225"/>
      <c r="P1" s="3225"/>
      <c r="Q1" s="3225"/>
      <c r="R1" s="3225"/>
      <c r="S1" s="3226"/>
      <c r="T1" s="1206" t="s">
        <v>3006</v>
      </c>
    </row>
    <row r="2" spans="1:45" s="708" customFormat="1" ht="38.25">
      <c r="A2" s="1207"/>
      <c r="B2" s="704" t="s">
        <v>3007</v>
      </c>
      <c r="C2" s="705" t="str">
        <f t="shared" ref="C2:L2" si="0">C3&amp;"(含)"&amp;"-"&amp;D3</f>
        <v>0(含)-100</v>
      </c>
      <c r="D2" s="706" t="str">
        <f t="shared" si="0"/>
        <v>100(含)-200</v>
      </c>
      <c r="E2" s="706" t="str">
        <f t="shared" si="0"/>
        <v>200(含)-300</v>
      </c>
      <c r="F2" s="706" t="str">
        <f t="shared" si="0"/>
        <v>300(含)-0</v>
      </c>
      <c r="G2" s="706" t="str">
        <f t="shared" si="0"/>
        <v>0(含)-0</v>
      </c>
      <c r="H2" s="706" t="str">
        <f t="shared" si="0"/>
        <v>0(含)-0</v>
      </c>
      <c r="I2" s="706" t="str">
        <f t="shared" si="0"/>
        <v>0(含)-0</v>
      </c>
      <c r="J2" s="706" t="str">
        <f t="shared" si="0"/>
        <v>0(含)-</v>
      </c>
      <c r="K2" s="706" t="str">
        <f t="shared" si="0"/>
        <v>(含)-</v>
      </c>
      <c r="L2" s="706" t="str">
        <f t="shared" si="0"/>
        <v>(含)-</v>
      </c>
      <c r="M2" s="706" t="str">
        <f t="shared" ref="M2:R2" si="1">M3&amp;"(含)"&amp;"-"&amp;N3</f>
        <v>(含)-</v>
      </c>
      <c r="N2" s="706" t="str">
        <f t="shared" si="1"/>
        <v>(含)-</v>
      </c>
      <c r="O2" s="706" t="str">
        <f t="shared" si="1"/>
        <v>(含)-</v>
      </c>
      <c r="P2" s="706" t="str">
        <f t="shared" si="1"/>
        <v>(含)-</v>
      </c>
      <c r="Q2" s="706" t="str">
        <f t="shared" si="1"/>
        <v>(含)-</v>
      </c>
      <c r="R2" s="706" t="str">
        <f t="shared" si="1"/>
        <v>(含)-</v>
      </c>
      <c r="S2" s="1208" t="str">
        <f>S3&amp;"(含)"&amp;"-"</f>
        <v>(含)-</v>
      </c>
      <c r="T2" s="707"/>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3" customFormat="1">
      <c r="A3" s="1209"/>
      <c r="B3" s="709"/>
      <c r="C3" s="710">
        <f>'比较法-住宅'!C103</f>
        <v>0</v>
      </c>
      <c r="D3" s="711">
        <f>'比较法-住宅'!D103</f>
        <v>100</v>
      </c>
      <c r="E3" s="711">
        <f>'比较法-住宅'!E103</f>
        <v>200</v>
      </c>
      <c r="F3" s="710">
        <f>'比较法-住宅'!F103</f>
        <v>300</v>
      </c>
      <c r="G3" s="711">
        <f>'比较法-住宅'!G103</f>
        <v>0</v>
      </c>
      <c r="H3" s="711">
        <f>'比较法-住宅'!H103</f>
        <v>0</v>
      </c>
      <c r="I3" s="710">
        <f>'比较法-住宅'!I103</f>
        <v>0</v>
      </c>
      <c r="J3" s="711">
        <f>'比较法-住宅'!J103</f>
        <v>0</v>
      </c>
      <c r="K3" s="1707"/>
      <c r="L3" s="1708"/>
      <c r="M3" s="1709"/>
      <c r="N3" s="1709"/>
      <c r="O3" s="1707"/>
      <c r="P3" s="1707"/>
      <c r="Q3" s="1707"/>
      <c r="R3" s="1707"/>
      <c r="S3" s="1710"/>
      <c r="T3" s="712"/>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3" customFormat="1" ht="13.5" thickBot="1">
      <c r="A4" s="1210"/>
      <c r="B4" s="1211"/>
      <c r="C4" s="1212">
        <v>100</v>
      </c>
      <c r="D4" s="1213">
        <v>98</v>
      </c>
      <c r="E4" s="1212">
        <v>96</v>
      </c>
      <c r="F4" s="1212">
        <v>94</v>
      </c>
      <c r="G4" s="1213">
        <v>92</v>
      </c>
      <c r="H4" s="1212">
        <v>90</v>
      </c>
      <c r="I4" s="1212">
        <v>88</v>
      </c>
      <c r="J4" s="1213">
        <v>86</v>
      </c>
      <c r="K4" s="1711"/>
      <c r="L4" s="1711"/>
      <c r="M4" s="1712"/>
      <c r="N4" s="1712"/>
      <c r="O4" s="1711"/>
      <c r="P4" s="1711"/>
      <c r="Q4" s="1711"/>
      <c r="R4" s="1711"/>
      <c r="S4" s="1713"/>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2957" t="s">
        <v>3167</v>
      </c>
      <c r="C5" s="2958" t="s">
        <v>3168</v>
      </c>
      <c r="D5" s="2959" t="s">
        <v>3169</v>
      </c>
      <c r="E5" s="2959" t="s">
        <v>3170</v>
      </c>
      <c r="F5" s="1714"/>
      <c r="G5" s="1714"/>
      <c r="H5" s="1714"/>
      <c r="I5" s="1714"/>
      <c r="J5" s="1714"/>
      <c r="K5" s="1714"/>
      <c r="L5" s="1715"/>
      <c r="M5" s="1716"/>
      <c r="N5" s="1716"/>
      <c r="O5" s="1714"/>
      <c r="P5" s="1714"/>
      <c r="Q5" s="1714"/>
      <c r="R5" s="1714"/>
      <c r="S5" s="1717"/>
      <c r="T5" s="1221">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97</v>
      </c>
      <c r="E6" s="1121">
        <f t="shared" ref="E6:S6" si="2">D6-$T5</f>
        <v>94</v>
      </c>
      <c r="F6" s="1718">
        <f t="shared" si="2"/>
        <v>91</v>
      </c>
      <c r="G6" s="1718">
        <f t="shared" si="2"/>
        <v>88</v>
      </c>
      <c r="H6" s="1718">
        <f t="shared" si="2"/>
        <v>85</v>
      </c>
      <c r="I6" s="1718">
        <f t="shared" si="2"/>
        <v>82</v>
      </c>
      <c r="J6" s="1718">
        <f t="shared" si="2"/>
        <v>79</v>
      </c>
      <c r="K6" s="1718">
        <f t="shared" si="2"/>
        <v>76</v>
      </c>
      <c r="L6" s="1718">
        <f t="shared" si="2"/>
        <v>73</v>
      </c>
      <c r="M6" s="1718">
        <f t="shared" si="2"/>
        <v>70</v>
      </c>
      <c r="N6" s="1718">
        <f t="shared" si="2"/>
        <v>67</v>
      </c>
      <c r="O6" s="1718">
        <f t="shared" si="2"/>
        <v>64</v>
      </c>
      <c r="P6" s="1718">
        <f t="shared" si="2"/>
        <v>61</v>
      </c>
      <c r="Q6" s="1718">
        <f t="shared" si="2"/>
        <v>58</v>
      </c>
      <c r="R6" s="1718">
        <f t="shared" si="2"/>
        <v>55</v>
      </c>
      <c r="S6" s="1718">
        <f t="shared" si="2"/>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3" t="s">
        <v>3008</v>
      </c>
      <c r="C7" s="1123"/>
      <c r="D7" s="1117"/>
      <c r="E7" s="1117"/>
      <c r="F7" s="1719"/>
      <c r="G7" s="1719"/>
      <c r="H7" s="1719"/>
      <c r="I7" s="1719"/>
      <c r="J7" s="1719"/>
      <c r="K7" s="1719"/>
      <c r="L7" s="1719"/>
      <c r="M7" s="1720"/>
      <c r="N7" s="1721"/>
      <c r="O7" s="1722"/>
      <c r="P7" s="1723"/>
      <c r="Q7" s="1724"/>
      <c r="R7" s="1725"/>
      <c r="S7" s="1726"/>
      <c r="T7" s="714"/>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3" t="s">
        <v>3009</v>
      </c>
      <c r="C9" s="1123"/>
      <c r="D9" s="1117"/>
      <c r="E9" s="1117"/>
      <c r="F9" s="1719"/>
      <c r="G9" s="1719"/>
      <c r="H9" s="1719"/>
      <c r="I9" s="1719"/>
      <c r="J9" s="1719"/>
      <c r="K9" s="1719"/>
      <c r="L9" s="1727"/>
      <c r="M9" s="1720"/>
      <c r="N9" s="1721"/>
      <c r="O9" s="1722"/>
      <c r="P9" s="1723"/>
      <c r="Q9" s="1724"/>
      <c r="R9" s="1725"/>
      <c r="S9" s="1726"/>
      <c r="T9" s="714"/>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8">
        <f t="shared" si="4"/>
        <v>100</v>
      </c>
      <c r="G10" s="1728">
        <f t="shared" si="4"/>
        <v>100</v>
      </c>
      <c r="H10" s="1728">
        <f t="shared" si="4"/>
        <v>100</v>
      </c>
      <c r="I10" s="1728">
        <f t="shared" si="4"/>
        <v>100</v>
      </c>
      <c r="J10" s="1728">
        <f t="shared" si="4"/>
        <v>100</v>
      </c>
      <c r="K10" s="1728">
        <f t="shared" si="4"/>
        <v>100</v>
      </c>
      <c r="L10" s="1728">
        <f t="shared" si="4"/>
        <v>100</v>
      </c>
      <c r="M10" s="1728">
        <f t="shared" si="4"/>
        <v>100</v>
      </c>
      <c r="N10" s="1728">
        <f t="shared" si="4"/>
        <v>100</v>
      </c>
      <c r="O10" s="1728">
        <f t="shared" si="4"/>
        <v>100</v>
      </c>
      <c r="P10" s="1728">
        <f t="shared" si="4"/>
        <v>100</v>
      </c>
      <c r="Q10" s="1728">
        <f t="shared" si="4"/>
        <v>100</v>
      </c>
      <c r="R10" s="1728">
        <f t="shared" si="4"/>
        <v>100</v>
      </c>
      <c r="S10" s="1728">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2" t="s">
        <v>3010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2" t="s">
        <v>3011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2" t="s">
        <v>3012</v>
      </c>
      <c r="C15" s="1218">
        <v>1</v>
      </c>
      <c r="D15" s="1219">
        <v>2</v>
      </c>
      <c r="E15" s="1219">
        <v>3</v>
      </c>
      <c r="F15" s="1219">
        <v>4</v>
      </c>
      <c r="G15" s="1219">
        <v>5</v>
      </c>
      <c r="H15" s="1219">
        <v>6</v>
      </c>
      <c r="I15" s="1219">
        <v>7</v>
      </c>
      <c r="J15" s="1219">
        <v>8</v>
      </c>
      <c r="K15" s="1219">
        <v>9</v>
      </c>
      <c r="L15" s="1219">
        <v>10</v>
      </c>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8" customFormat="1">
      <c r="A17" s="2919" t="s">
        <v>3013</v>
      </c>
      <c r="B17" s="2920" t="s">
        <v>3014</v>
      </c>
      <c r="C17" s="1233">
        <v>1</v>
      </c>
      <c r="D17" s="1234">
        <v>2</v>
      </c>
      <c r="E17" s="1234">
        <v>3</v>
      </c>
      <c r="F17" s="1234">
        <v>4</v>
      </c>
      <c r="G17" s="1234">
        <v>5</v>
      </c>
      <c r="H17" s="1234">
        <v>6</v>
      </c>
      <c r="I17" s="1234">
        <v>7</v>
      </c>
      <c r="J17" s="1234">
        <v>8</v>
      </c>
      <c r="K17" s="1234">
        <v>9</v>
      </c>
      <c r="L17" s="1235">
        <v>10</v>
      </c>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8"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9"/>
      <c r="C19" s="169"/>
      <c r="D19" s="2921" t="s">
        <v>3015</v>
      </c>
      <c r="E19" s="1795"/>
      <c r="F19" s="1795"/>
      <c r="G19" s="1795"/>
      <c r="H19" s="1282"/>
      <c r="I19" s="169"/>
      <c r="J19" s="169"/>
      <c r="K19" s="169"/>
      <c r="L19" s="169"/>
      <c r="M19" s="169"/>
      <c r="N19" s="169"/>
      <c r="O19" s="169"/>
      <c r="P19" s="169"/>
      <c r="Q19" s="169"/>
      <c r="R19" s="787"/>
      <c r="S19" s="138"/>
    </row>
    <row r="20" spans="1:45" ht="16.5" thickBot="1">
      <c r="A20" s="716" t="s">
        <v>3016</v>
      </c>
      <c r="B20" s="339">
        <f ca="1">IF(D20="——",S22,S22-F20)</f>
        <v>21641</v>
      </c>
      <c r="C20" s="169"/>
      <c r="D20" s="2922" t="s">
        <v>70</v>
      </c>
      <c r="E20" s="1796"/>
      <c r="F20" s="1206" t="e">
        <f ca="1">SUMIF(INDIRECT("'"&amp;H20&amp;"'"&amp;"!A:A"),"承租人权益价值",INDIRECT("'"&amp;H20&amp;"'"&amp;"!c:c"))</f>
        <v>#REF!</v>
      </c>
      <c r="G20" s="1206" t="s">
        <v>3017</v>
      </c>
      <c r="H20" s="2923" t="s">
        <v>3146</v>
      </c>
      <c r="I20" s="169"/>
      <c r="J20" s="169"/>
      <c r="K20" s="169"/>
      <c r="L20" s="169"/>
      <c r="M20" s="169"/>
      <c r="N20" s="169"/>
      <c r="O20" s="169"/>
      <c r="P20" s="169"/>
      <c r="Q20" s="169"/>
      <c r="R20" s="787"/>
      <c r="S20" s="138"/>
    </row>
    <row r="21" spans="1:45" ht="15.75">
      <c r="A21" s="716" t="s">
        <v>3018</v>
      </c>
      <c r="B21" s="339">
        <f ca="1">R22</f>
        <v>117414</v>
      </c>
      <c r="C21" s="169"/>
      <c r="D21" s="169"/>
      <c r="E21" s="169"/>
      <c r="F21" s="169"/>
      <c r="G21" s="169"/>
      <c r="H21" s="169"/>
      <c r="I21" s="169"/>
      <c r="J21" s="169"/>
      <c r="K21" s="169"/>
      <c r="L21" s="169"/>
      <c r="M21" s="169"/>
      <c r="N21" s="169"/>
      <c r="O21" s="169"/>
      <c r="P21" s="169"/>
      <c r="Q21" s="169"/>
      <c r="R21" s="787"/>
      <c r="S21" s="138"/>
    </row>
    <row r="22" spans="1:45">
      <c r="A22" s="362" t="s">
        <v>3019</v>
      </c>
      <c r="B22" s="24">
        <f>SUM(B24:B10000)</f>
        <v>1843.1299999999999</v>
      </c>
      <c r="C22" s="3061" t="s">
        <v>33</v>
      </c>
      <c r="D22" s="3062"/>
      <c r="E22" s="3062"/>
      <c r="F22" s="3062"/>
      <c r="G22" s="3062"/>
      <c r="H22" s="3062"/>
      <c r="I22" s="3062"/>
      <c r="J22" s="3062"/>
      <c r="K22" s="3062"/>
      <c r="L22" s="3062"/>
      <c r="M22" s="3062"/>
      <c r="N22" s="3062"/>
      <c r="O22" s="3062"/>
      <c r="P22" s="3062"/>
      <c r="Q22" s="3223"/>
      <c r="R22" s="717">
        <f ca="1">ROUND(S22*10000/B22,0)</f>
        <v>117414</v>
      </c>
      <c r="S22" s="24">
        <f ca="1">SUM(S24:S10000)</f>
        <v>21641</v>
      </c>
    </row>
    <row r="23" spans="1:45" s="12" customFormat="1" ht="24">
      <c r="A23" s="11" t="s">
        <v>3020</v>
      </c>
      <c r="B23" s="11" t="s">
        <v>3021</v>
      </c>
      <c r="C23" s="11" t="s">
        <v>3022</v>
      </c>
      <c r="D23" s="11" t="str">
        <f>B5</f>
        <v>楼层</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8"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36">
      <c r="A24" s="2931" t="s">
        <v>3061</v>
      </c>
      <c r="B24" s="2215">
        <v>88.84</v>
      </c>
      <c r="C24" s="719">
        <v>1</v>
      </c>
      <c r="D24" s="720" t="s">
        <v>3160</v>
      </c>
      <c r="E24" s="719">
        <v>1</v>
      </c>
      <c r="F24" s="720"/>
      <c r="G24" s="719">
        <v>1</v>
      </c>
      <c r="H24" s="720"/>
      <c r="I24" s="719">
        <v>1</v>
      </c>
      <c r="J24" s="720"/>
      <c r="K24" s="719">
        <v>1</v>
      </c>
      <c r="L24" s="720"/>
      <c r="M24" s="719">
        <v>1</v>
      </c>
      <c r="N24" s="720"/>
      <c r="O24" s="719">
        <v>1</v>
      </c>
      <c r="P24" s="720"/>
      <c r="Q24" s="719">
        <v>1</v>
      </c>
      <c r="R24" s="2952">
        <f ca="1">结果表!G20</f>
        <v>112615</v>
      </c>
      <c r="S24" s="719">
        <f t="shared" ref="S24:S54" ca="1" si="6">ROUND(R24*B24/10000,0)</f>
        <v>1000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36">
      <c r="A25" s="2931" t="s">
        <v>3062</v>
      </c>
      <c r="B25" s="2215">
        <v>73.08</v>
      </c>
      <c r="C25" s="24">
        <f>IF(B25="",1,(LOOKUP(B25,$3:$3,$4:$4)-LOOKUP($B$24,$3:$3,$4:$4)+100)/100)</f>
        <v>1</v>
      </c>
      <c r="D25" s="720" t="s">
        <v>3160</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7">
        <f ca="1">IF(B25="",0,ROUND($R$24*C25*E25*G25*I25*K25*M25*O25*Q25,0))</f>
        <v>112615</v>
      </c>
      <c r="S25" s="362">
        <f t="shared" ca="1" si="6"/>
        <v>823</v>
      </c>
    </row>
    <row r="26" spans="1:45" ht="36">
      <c r="A26" s="2931" t="s">
        <v>3063</v>
      </c>
      <c r="B26" s="2215">
        <v>87</v>
      </c>
      <c r="C26" s="24">
        <f t="shared" ref="C26:C89" si="7">IF(B26="",1,(LOOKUP(B26,$3:$3,$4:$4)-LOOKUP($B$24,$3:$3,$4:$4)+100)/100)</f>
        <v>1</v>
      </c>
      <c r="D26" s="720" t="s">
        <v>3158</v>
      </c>
      <c r="E26" s="24">
        <f t="shared" ref="E26:E89" si="8">(SUMIF($5:$5,D26,$6:$6)-SUMIF($5:$5,$D$24,$6:$6)+100)/100</f>
        <v>1.03</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7">
        <f t="shared" ref="R26:R89" ca="1" si="15">IF(B26="",0,ROUND($R$24*C26*E26*G26*I26*K26*M26*O26*Q26,0))</f>
        <v>115993</v>
      </c>
      <c r="S26" s="362">
        <f t="shared" ca="1" si="6"/>
        <v>1009</v>
      </c>
    </row>
    <row r="27" spans="1:45" ht="36">
      <c r="A27" s="2931" t="s">
        <v>3064</v>
      </c>
      <c r="B27" s="2215">
        <v>86.07</v>
      </c>
      <c r="C27" s="24">
        <f t="shared" si="7"/>
        <v>1</v>
      </c>
      <c r="D27" s="720" t="s">
        <v>3158</v>
      </c>
      <c r="E27" s="24">
        <f t="shared" si="8"/>
        <v>1.03</v>
      </c>
      <c r="F27" s="720"/>
      <c r="G27" s="24">
        <f t="shared" si="9"/>
        <v>1</v>
      </c>
      <c r="H27" s="720"/>
      <c r="I27" s="24">
        <f t="shared" si="10"/>
        <v>1</v>
      </c>
      <c r="J27" s="720"/>
      <c r="K27" s="24">
        <f t="shared" si="11"/>
        <v>1</v>
      </c>
      <c r="L27" s="720"/>
      <c r="M27" s="24">
        <f t="shared" si="12"/>
        <v>1</v>
      </c>
      <c r="N27" s="720"/>
      <c r="O27" s="24">
        <f t="shared" si="13"/>
        <v>1</v>
      </c>
      <c r="P27" s="720"/>
      <c r="Q27" s="24">
        <f t="shared" si="14"/>
        <v>1</v>
      </c>
      <c r="R27" s="717">
        <f t="shared" ca="1" si="15"/>
        <v>115993</v>
      </c>
      <c r="S27" s="362">
        <f t="shared" ca="1" si="6"/>
        <v>998</v>
      </c>
    </row>
    <row r="28" spans="1:45" ht="36">
      <c r="A28" s="2931" t="s">
        <v>3065</v>
      </c>
      <c r="B28" s="2215">
        <v>99.12</v>
      </c>
      <c r="C28" s="24">
        <f t="shared" si="7"/>
        <v>1</v>
      </c>
      <c r="D28" s="720" t="s">
        <v>3158</v>
      </c>
      <c r="E28" s="24">
        <f t="shared" si="8"/>
        <v>1.03</v>
      </c>
      <c r="F28" s="720"/>
      <c r="G28" s="24">
        <f t="shared" si="9"/>
        <v>1</v>
      </c>
      <c r="H28" s="720"/>
      <c r="I28" s="24">
        <f t="shared" si="10"/>
        <v>1</v>
      </c>
      <c r="J28" s="720"/>
      <c r="K28" s="24">
        <f t="shared" si="11"/>
        <v>1</v>
      </c>
      <c r="L28" s="720"/>
      <c r="M28" s="24">
        <f t="shared" si="12"/>
        <v>1</v>
      </c>
      <c r="N28" s="720"/>
      <c r="O28" s="24">
        <f t="shared" si="13"/>
        <v>1</v>
      </c>
      <c r="P28" s="720"/>
      <c r="Q28" s="24">
        <f t="shared" si="14"/>
        <v>1</v>
      </c>
      <c r="R28" s="717">
        <f t="shared" ca="1" si="15"/>
        <v>115993</v>
      </c>
      <c r="S28" s="362">
        <f t="shared" ca="1" si="6"/>
        <v>1150</v>
      </c>
    </row>
    <row r="29" spans="1:45" ht="36">
      <c r="A29" s="2931" t="s">
        <v>3066</v>
      </c>
      <c r="B29" s="39">
        <v>98.26</v>
      </c>
      <c r="C29" s="24">
        <f t="shared" si="7"/>
        <v>1</v>
      </c>
      <c r="D29" s="720" t="s">
        <v>3158</v>
      </c>
      <c r="E29" s="24">
        <f t="shared" si="8"/>
        <v>1.03</v>
      </c>
      <c r="F29" s="720"/>
      <c r="G29" s="24">
        <f t="shared" si="9"/>
        <v>1</v>
      </c>
      <c r="H29" s="720"/>
      <c r="I29" s="24">
        <f t="shared" si="10"/>
        <v>1</v>
      </c>
      <c r="J29" s="720"/>
      <c r="K29" s="24">
        <f t="shared" si="11"/>
        <v>1</v>
      </c>
      <c r="L29" s="720"/>
      <c r="M29" s="24">
        <f t="shared" si="12"/>
        <v>1</v>
      </c>
      <c r="N29" s="720"/>
      <c r="O29" s="24">
        <f t="shared" si="13"/>
        <v>1</v>
      </c>
      <c r="P29" s="720"/>
      <c r="Q29" s="24">
        <f t="shared" si="14"/>
        <v>1</v>
      </c>
      <c r="R29" s="717">
        <f t="shared" ca="1" si="15"/>
        <v>115993</v>
      </c>
      <c r="S29" s="362">
        <f t="shared" ca="1" si="6"/>
        <v>1140</v>
      </c>
    </row>
    <row r="30" spans="1:45" ht="36">
      <c r="A30" s="2931" t="s">
        <v>3067</v>
      </c>
      <c r="B30" s="39">
        <v>97.5</v>
      </c>
      <c r="C30" s="24">
        <f t="shared" si="7"/>
        <v>1</v>
      </c>
      <c r="D30" s="720" t="s">
        <v>3158</v>
      </c>
      <c r="E30" s="24">
        <f t="shared" si="8"/>
        <v>1.03</v>
      </c>
      <c r="F30" s="720"/>
      <c r="G30" s="24">
        <f t="shared" si="9"/>
        <v>1</v>
      </c>
      <c r="H30" s="720"/>
      <c r="I30" s="24">
        <f t="shared" si="10"/>
        <v>1</v>
      </c>
      <c r="J30" s="720"/>
      <c r="K30" s="24">
        <f t="shared" si="11"/>
        <v>1</v>
      </c>
      <c r="L30" s="720"/>
      <c r="M30" s="24">
        <f t="shared" si="12"/>
        <v>1</v>
      </c>
      <c r="N30" s="720"/>
      <c r="O30" s="24">
        <f t="shared" si="13"/>
        <v>1</v>
      </c>
      <c r="P30" s="720"/>
      <c r="Q30" s="24">
        <f t="shared" si="14"/>
        <v>1</v>
      </c>
      <c r="R30" s="717">
        <f t="shared" ca="1" si="15"/>
        <v>115993</v>
      </c>
      <c r="S30" s="362">
        <f t="shared" ca="1" si="6"/>
        <v>1131</v>
      </c>
    </row>
    <row r="31" spans="1:45" ht="36">
      <c r="A31" s="2931" t="s">
        <v>3068</v>
      </c>
      <c r="B31" s="39">
        <v>98.25</v>
      </c>
      <c r="C31" s="24">
        <f t="shared" si="7"/>
        <v>1</v>
      </c>
      <c r="D31" s="720" t="s">
        <v>3158</v>
      </c>
      <c r="E31" s="24">
        <f t="shared" si="8"/>
        <v>1.03</v>
      </c>
      <c r="F31" s="720"/>
      <c r="G31" s="24">
        <f t="shared" si="9"/>
        <v>1</v>
      </c>
      <c r="H31" s="720"/>
      <c r="I31" s="24">
        <f t="shared" si="10"/>
        <v>1</v>
      </c>
      <c r="J31" s="720"/>
      <c r="K31" s="24">
        <f t="shared" si="11"/>
        <v>1</v>
      </c>
      <c r="L31" s="720"/>
      <c r="M31" s="24">
        <f t="shared" si="12"/>
        <v>1</v>
      </c>
      <c r="N31" s="720"/>
      <c r="O31" s="24">
        <f t="shared" si="13"/>
        <v>1</v>
      </c>
      <c r="P31" s="720"/>
      <c r="Q31" s="24">
        <f t="shared" si="14"/>
        <v>1</v>
      </c>
      <c r="R31" s="717">
        <f t="shared" ca="1" si="15"/>
        <v>115993</v>
      </c>
      <c r="S31" s="362">
        <f t="shared" ca="1" si="6"/>
        <v>1140</v>
      </c>
    </row>
    <row r="32" spans="1:45" ht="36">
      <c r="A32" s="2931" t="s">
        <v>3069</v>
      </c>
      <c r="B32" s="39">
        <v>94.13</v>
      </c>
      <c r="C32" s="24">
        <f t="shared" si="7"/>
        <v>1</v>
      </c>
      <c r="D32" s="720" t="s">
        <v>3158</v>
      </c>
      <c r="E32" s="24">
        <f t="shared" si="8"/>
        <v>1.03</v>
      </c>
      <c r="F32" s="720"/>
      <c r="G32" s="24">
        <f t="shared" si="9"/>
        <v>1</v>
      </c>
      <c r="H32" s="720"/>
      <c r="I32" s="24">
        <f t="shared" si="10"/>
        <v>1</v>
      </c>
      <c r="J32" s="720"/>
      <c r="K32" s="24">
        <f t="shared" si="11"/>
        <v>1</v>
      </c>
      <c r="L32" s="720"/>
      <c r="M32" s="24">
        <f t="shared" si="12"/>
        <v>1</v>
      </c>
      <c r="N32" s="720"/>
      <c r="O32" s="24">
        <f t="shared" si="13"/>
        <v>1</v>
      </c>
      <c r="P32" s="720"/>
      <c r="Q32" s="24">
        <f t="shared" si="14"/>
        <v>1</v>
      </c>
      <c r="R32" s="717">
        <f t="shared" ca="1" si="15"/>
        <v>115993</v>
      </c>
      <c r="S32" s="362">
        <f t="shared" ca="1" si="6"/>
        <v>1092</v>
      </c>
    </row>
    <row r="33" spans="1:19" ht="36">
      <c r="A33" s="2931" t="s">
        <v>3070</v>
      </c>
      <c r="B33" s="39">
        <v>88.77</v>
      </c>
      <c r="C33" s="24">
        <f t="shared" si="7"/>
        <v>1</v>
      </c>
      <c r="D33" s="720" t="s">
        <v>3158</v>
      </c>
      <c r="E33" s="24">
        <f t="shared" si="8"/>
        <v>1.03</v>
      </c>
      <c r="F33" s="720"/>
      <c r="G33" s="24">
        <f t="shared" si="9"/>
        <v>1</v>
      </c>
      <c r="H33" s="720"/>
      <c r="I33" s="24">
        <f t="shared" si="10"/>
        <v>1</v>
      </c>
      <c r="J33" s="720"/>
      <c r="K33" s="24">
        <f t="shared" si="11"/>
        <v>1</v>
      </c>
      <c r="L33" s="720"/>
      <c r="M33" s="24">
        <f t="shared" si="12"/>
        <v>1</v>
      </c>
      <c r="N33" s="720"/>
      <c r="O33" s="24">
        <f t="shared" si="13"/>
        <v>1</v>
      </c>
      <c r="P33" s="720"/>
      <c r="Q33" s="24">
        <f t="shared" si="14"/>
        <v>1</v>
      </c>
      <c r="R33" s="717">
        <f t="shared" ca="1" si="15"/>
        <v>115993</v>
      </c>
      <c r="S33" s="362">
        <f t="shared" ca="1" si="6"/>
        <v>1030</v>
      </c>
    </row>
    <row r="34" spans="1:19" ht="48">
      <c r="A34" s="2931" t="s">
        <v>3071</v>
      </c>
      <c r="B34" s="39">
        <v>99.13</v>
      </c>
      <c r="C34" s="24">
        <f t="shared" si="7"/>
        <v>1</v>
      </c>
      <c r="D34" s="720" t="s">
        <v>3156</v>
      </c>
      <c r="E34" s="24">
        <f t="shared" si="8"/>
        <v>1.06</v>
      </c>
      <c r="F34" s="720"/>
      <c r="G34" s="24">
        <f t="shared" si="9"/>
        <v>1</v>
      </c>
      <c r="H34" s="720"/>
      <c r="I34" s="24">
        <f t="shared" si="10"/>
        <v>1</v>
      </c>
      <c r="J34" s="720"/>
      <c r="K34" s="24">
        <f t="shared" si="11"/>
        <v>1</v>
      </c>
      <c r="L34" s="720"/>
      <c r="M34" s="24">
        <f t="shared" si="12"/>
        <v>1</v>
      </c>
      <c r="N34" s="720"/>
      <c r="O34" s="24">
        <f t="shared" si="13"/>
        <v>1</v>
      </c>
      <c r="P34" s="720"/>
      <c r="Q34" s="24">
        <f t="shared" si="14"/>
        <v>1</v>
      </c>
      <c r="R34" s="717">
        <f t="shared" ca="1" si="15"/>
        <v>119372</v>
      </c>
      <c r="S34" s="362">
        <f t="shared" ca="1" si="6"/>
        <v>1183</v>
      </c>
    </row>
    <row r="35" spans="1:19" ht="48">
      <c r="A35" s="2931" t="s">
        <v>3072</v>
      </c>
      <c r="B35" s="39">
        <v>98.26</v>
      </c>
      <c r="C35" s="24">
        <f t="shared" si="7"/>
        <v>1</v>
      </c>
      <c r="D35" s="720" t="s">
        <v>3156</v>
      </c>
      <c r="E35" s="24">
        <f t="shared" si="8"/>
        <v>1.06</v>
      </c>
      <c r="F35" s="720"/>
      <c r="G35" s="24">
        <f t="shared" si="9"/>
        <v>1</v>
      </c>
      <c r="H35" s="720"/>
      <c r="I35" s="24">
        <f t="shared" si="10"/>
        <v>1</v>
      </c>
      <c r="J35" s="720"/>
      <c r="K35" s="24">
        <f t="shared" si="11"/>
        <v>1</v>
      </c>
      <c r="L35" s="720"/>
      <c r="M35" s="24">
        <f t="shared" si="12"/>
        <v>1</v>
      </c>
      <c r="N35" s="720"/>
      <c r="O35" s="24">
        <f t="shared" si="13"/>
        <v>1</v>
      </c>
      <c r="P35" s="720"/>
      <c r="Q35" s="24">
        <f t="shared" si="14"/>
        <v>1</v>
      </c>
      <c r="R35" s="717">
        <f t="shared" ca="1" si="15"/>
        <v>119372</v>
      </c>
      <c r="S35" s="362">
        <f t="shared" ca="1" si="6"/>
        <v>1173</v>
      </c>
    </row>
    <row r="36" spans="1:19" ht="48">
      <c r="A36" s="2931" t="s">
        <v>3073</v>
      </c>
      <c r="B36" s="39">
        <v>94.53</v>
      </c>
      <c r="C36" s="24">
        <f t="shared" si="7"/>
        <v>1</v>
      </c>
      <c r="D36" s="720" t="s">
        <v>3156</v>
      </c>
      <c r="E36" s="24">
        <f t="shared" si="8"/>
        <v>1.06</v>
      </c>
      <c r="F36" s="720"/>
      <c r="G36" s="24">
        <f t="shared" si="9"/>
        <v>1</v>
      </c>
      <c r="H36" s="720"/>
      <c r="I36" s="24">
        <f t="shared" si="10"/>
        <v>1</v>
      </c>
      <c r="J36" s="720"/>
      <c r="K36" s="24">
        <f t="shared" si="11"/>
        <v>1</v>
      </c>
      <c r="L36" s="720"/>
      <c r="M36" s="24">
        <f t="shared" si="12"/>
        <v>1</v>
      </c>
      <c r="N36" s="720"/>
      <c r="O36" s="24">
        <f t="shared" si="13"/>
        <v>1</v>
      </c>
      <c r="P36" s="720"/>
      <c r="Q36" s="24">
        <f t="shared" si="14"/>
        <v>1</v>
      </c>
      <c r="R36" s="717">
        <f t="shared" ca="1" si="15"/>
        <v>119372</v>
      </c>
      <c r="S36" s="362">
        <f t="shared" ca="1" si="6"/>
        <v>1128</v>
      </c>
    </row>
    <row r="37" spans="1:19" ht="48">
      <c r="A37" s="2931" t="s">
        <v>3074</v>
      </c>
      <c r="B37" s="39">
        <v>88.77</v>
      </c>
      <c r="C37" s="24">
        <f t="shared" si="7"/>
        <v>1</v>
      </c>
      <c r="D37" s="720" t="s">
        <v>3156</v>
      </c>
      <c r="E37" s="24">
        <f t="shared" si="8"/>
        <v>1.06</v>
      </c>
      <c r="F37" s="720"/>
      <c r="G37" s="24">
        <f t="shared" si="9"/>
        <v>1</v>
      </c>
      <c r="H37" s="720"/>
      <c r="I37" s="24">
        <f t="shared" si="10"/>
        <v>1</v>
      </c>
      <c r="J37" s="720"/>
      <c r="K37" s="24">
        <f t="shared" si="11"/>
        <v>1</v>
      </c>
      <c r="L37" s="720"/>
      <c r="M37" s="24">
        <f t="shared" si="12"/>
        <v>1</v>
      </c>
      <c r="N37" s="720"/>
      <c r="O37" s="24">
        <f t="shared" si="13"/>
        <v>1</v>
      </c>
      <c r="P37" s="720"/>
      <c r="Q37" s="24">
        <f t="shared" si="14"/>
        <v>1</v>
      </c>
      <c r="R37" s="717">
        <f t="shared" ca="1" si="15"/>
        <v>119372</v>
      </c>
      <c r="S37" s="362">
        <f t="shared" ca="1" si="6"/>
        <v>1060</v>
      </c>
    </row>
    <row r="38" spans="1:19" ht="48">
      <c r="A38" s="2931" t="s">
        <v>3075</v>
      </c>
      <c r="B38" s="39">
        <v>94.13</v>
      </c>
      <c r="C38" s="24">
        <f t="shared" si="7"/>
        <v>1</v>
      </c>
      <c r="D38" s="720" t="s">
        <v>3156</v>
      </c>
      <c r="E38" s="24">
        <f t="shared" si="8"/>
        <v>1.06</v>
      </c>
      <c r="F38" s="720"/>
      <c r="G38" s="24">
        <f t="shared" si="9"/>
        <v>1</v>
      </c>
      <c r="H38" s="720"/>
      <c r="I38" s="24">
        <f t="shared" si="10"/>
        <v>1</v>
      </c>
      <c r="J38" s="720"/>
      <c r="K38" s="24">
        <f t="shared" si="11"/>
        <v>1</v>
      </c>
      <c r="L38" s="720"/>
      <c r="M38" s="24">
        <f t="shared" si="12"/>
        <v>1</v>
      </c>
      <c r="N38" s="720"/>
      <c r="O38" s="24">
        <f t="shared" si="13"/>
        <v>1</v>
      </c>
      <c r="P38" s="720"/>
      <c r="Q38" s="24">
        <f t="shared" si="14"/>
        <v>1</v>
      </c>
      <c r="R38" s="717">
        <f t="shared" ca="1" si="15"/>
        <v>119372</v>
      </c>
      <c r="S38" s="362">
        <f t="shared" ca="1" si="6"/>
        <v>1124</v>
      </c>
    </row>
    <row r="39" spans="1:19" ht="48">
      <c r="A39" s="2931" t="s">
        <v>3076</v>
      </c>
      <c r="B39" s="39">
        <v>88.77</v>
      </c>
      <c r="C39" s="24">
        <f t="shared" si="7"/>
        <v>1</v>
      </c>
      <c r="D39" s="720" t="s">
        <v>3156</v>
      </c>
      <c r="E39" s="24">
        <f t="shared" si="8"/>
        <v>1.06</v>
      </c>
      <c r="F39" s="720"/>
      <c r="G39" s="24">
        <f t="shared" si="9"/>
        <v>1</v>
      </c>
      <c r="H39" s="720"/>
      <c r="I39" s="24">
        <f t="shared" si="10"/>
        <v>1</v>
      </c>
      <c r="J39" s="720"/>
      <c r="K39" s="24">
        <f t="shared" si="11"/>
        <v>1</v>
      </c>
      <c r="L39" s="720"/>
      <c r="M39" s="24">
        <f t="shared" si="12"/>
        <v>1</v>
      </c>
      <c r="N39" s="720"/>
      <c r="O39" s="24">
        <f t="shared" si="13"/>
        <v>1</v>
      </c>
      <c r="P39" s="720"/>
      <c r="Q39" s="24">
        <f t="shared" si="14"/>
        <v>1</v>
      </c>
      <c r="R39" s="717">
        <f t="shared" ca="1" si="15"/>
        <v>119372</v>
      </c>
      <c r="S39" s="362">
        <f t="shared" ca="1" si="6"/>
        <v>1060</v>
      </c>
    </row>
    <row r="40" spans="1:19" ht="48">
      <c r="A40" s="2931" t="s">
        <v>3077</v>
      </c>
      <c r="B40" s="39">
        <v>95.36</v>
      </c>
      <c r="C40" s="24">
        <f t="shared" si="7"/>
        <v>1</v>
      </c>
      <c r="D40" s="720" t="s">
        <v>3156</v>
      </c>
      <c r="E40" s="24">
        <f t="shared" si="8"/>
        <v>1.06</v>
      </c>
      <c r="F40" s="720"/>
      <c r="G40" s="24">
        <f t="shared" si="9"/>
        <v>1</v>
      </c>
      <c r="H40" s="720"/>
      <c r="I40" s="24">
        <f t="shared" si="10"/>
        <v>1</v>
      </c>
      <c r="J40" s="720"/>
      <c r="K40" s="24">
        <f t="shared" si="11"/>
        <v>1</v>
      </c>
      <c r="L40" s="720"/>
      <c r="M40" s="24">
        <f t="shared" si="12"/>
        <v>1</v>
      </c>
      <c r="N40" s="720"/>
      <c r="O40" s="24">
        <f t="shared" si="13"/>
        <v>1</v>
      </c>
      <c r="P40" s="720"/>
      <c r="Q40" s="24">
        <f t="shared" si="14"/>
        <v>1</v>
      </c>
      <c r="R40" s="717">
        <f t="shared" ca="1" si="15"/>
        <v>119372</v>
      </c>
      <c r="S40" s="362">
        <f t="shared" ca="1" si="6"/>
        <v>1138</v>
      </c>
    </row>
    <row r="41" spans="1:19" ht="48">
      <c r="A41" s="2931" t="s">
        <v>3078</v>
      </c>
      <c r="B41" s="39">
        <v>89.1</v>
      </c>
      <c r="C41" s="24">
        <f t="shared" si="7"/>
        <v>1</v>
      </c>
      <c r="D41" s="720" t="s">
        <v>3156</v>
      </c>
      <c r="E41" s="24">
        <f t="shared" si="8"/>
        <v>1.06</v>
      </c>
      <c r="F41" s="720"/>
      <c r="G41" s="24">
        <f t="shared" si="9"/>
        <v>1</v>
      </c>
      <c r="H41" s="720"/>
      <c r="I41" s="24">
        <f t="shared" si="10"/>
        <v>1</v>
      </c>
      <c r="J41" s="720"/>
      <c r="K41" s="24">
        <f t="shared" si="11"/>
        <v>1</v>
      </c>
      <c r="L41" s="720"/>
      <c r="M41" s="24">
        <f t="shared" si="12"/>
        <v>1</v>
      </c>
      <c r="N41" s="720"/>
      <c r="O41" s="24">
        <f t="shared" si="13"/>
        <v>1</v>
      </c>
      <c r="P41" s="720"/>
      <c r="Q41" s="24">
        <f t="shared" si="14"/>
        <v>1</v>
      </c>
      <c r="R41" s="717">
        <f t="shared" ca="1" si="15"/>
        <v>119372</v>
      </c>
      <c r="S41" s="362">
        <f t="shared" ca="1" si="6"/>
        <v>1064</v>
      </c>
    </row>
    <row r="42" spans="1:19" ht="48">
      <c r="A42" s="2931" t="s">
        <v>3079</v>
      </c>
      <c r="B42" s="39">
        <v>94.96</v>
      </c>
      <c r="C42" s="24">
        <f t="shared" si="7"/>
        <v>1</v>
      </c>
      <c r="D42" s="720" t="s">
        <v>3156</v>
      </c>
      <c r="E42" s="24">
        <f t="shared" si="8"/>
        <v>1.06</v>
      </c>
      <c r="F42" s="720"/>
      <c r="G42" s="24">
        <f t="shared" si="9"/>
        <v>1</v>
      </c>
      <c r="H42" s="720"/>
      <c r="I42" s="24">
        <f t="shared" si="10"/>
        <v>1</v>
      </c>
      <c r="J42" s="720"/>
      <c r="K42" s="24">
        <f t="shared" si="11"/>
        <v>1</v>
      </c>
      <c r="L42" s="720"/>
      <c r="M42" s="24">
        <f t="shared" si="12"/>
        <v>1</v>
      </c>
      <c r="N42" s="720"/>
      <c r="O42" s="24">
        <f t="shared" si="13"/>
        <v>1</v>
      </c>
      <c r="P42" s="720"/>
      <c r="Q42" s="24">
        <f t="shared" si="14"/>
        <v>1</v>
      </c>
      <c r="R42" s="717">
        <f t="shared" ca="1" si="15"/>
        <v>119372</v>
      </c>
      <c r="S42" s="362">
        <f t="shared" ca="1" si="6"/>
        <v>1134</v>
      </c>
    </row>
    <row r="43" spans="1:19" ht="48">
      <c r="A43" s="2931" t="s">
        <v>3080</v>
      </c>
      <c r="B43" s="39">
        <v>89.1</v>
      </c>
      <c r="C43" s="24">
        <f t="shared" si="7"/>
        <v>1</v>
      </c>
      <c r="D43" s="720" t="s">
        <v>3156</v>
      </c>
      <c r="E43" s="24">
        <f t="shared" si="8"/>
        <v>1.06</v>
      </c>
      <c r="F43" s="720"/>
      <c r="G43" s="24">
        <f t="shared" si="9"/>
        <v>1</v>
      </c>
      <c r="H43" s="720"/>
      <c r="I43" s="24">
        <f t="shared" si="10"/>
        <v>1</v>
      </c>
      <c r="J43" s="720"/>
      <c r="K43" s="24">
        <f t="shared" si="11"/>
        <v>1</v>
      </c>
      <c r="L43" s="720"/>
      <c r="M43" s="24">
        <f t="shared" si="12"/>
        <v>1</v>
      </c>
      <c r="N43" s="720"/>
      <c r="O43" s="24">
        <f t="shared" si="13"/>
        <v>1</v>
      </c>
      <c r="P43" s="720"/>
      <c r="Q43" s="24">
        <f t="shared" si="14"/>
        <v>1</v>
      </c>
      <c r="R43" s="717">
        <f t="shared" ca="1" si="15"/>
        <v>119372</v>
      </c>
      <c r="S43" s="362">
        <f t="shared" ca="1" si="6"/>
        <v>1064</v>
      </c>
    </row>
    <row r="44" spans="1:19">
      <c r="A44" s="160"/>
      <c r="B44" s="59"/>
      <c r="C44" s="24">
        <f t="shared" si="7"/>
        <v>1</v>
      </c>
      <c r="D44" s="720"/>
      <c r="E44" s="24">
        <f t="shared" si="8"/>
        <v>0.06</v>
      </c>
      <c r="F44" s="720"/>
      <c r="G44" s="24">
        <f t="shared" si="9"/>
        <v>1</v>
      </c>
      <c r="H44" s="720"/>
      <c r="I44" s="24">
        <f t="shared" si="10"/>
        <v>1</v>
      </c>
      <c r="J44" s="720"/>
      <c r="K44" s="24">
        <f t="shared" si="11"/>
        <v>1</v>
      </c>
      <c r="L44" s="720"/>
      <c r="M44" s="24">
        <f t="shared" si="12"/>
        <v>1</v>
      </c>
      <c r="N44" s="720"/>
      <c r="O44" s="24">
        <f t="shared" si="13"/>
        <v>1</v>
      </c>
      <c r="P44" s="720"/>
      <c r="Q44" s="24">
        <f t="shared" si="14"/>
        <v>1</v>
      </c>
      <c r="R44" s="717">
        <f t="shared" si="15"/>
        <v>0</v>
      </c>
      <c r="S44" s="362">
        <f t="shared" si="6"/>
        <v>0</v>
      </c>
    </row>
    <row r="45" spans="1:19">
      <c r="A45" s="160"/>
      <c r="B45" s="59"/>
      <c r="C45" s="24">
        <f t="shared" si="7"/>
        <v>1</v>
      </c>
      <c r="D45" s="720"/>
      <c r="E45" s="24">
        <f t="shared" si="8"/>
        <v>0.06</v>
      </c>
      <c r="F45" s="720"/>
      <c r="G45" s="24">
        <f t="shared" si="9"/>
        <v>1</v>
      </c>
      <c r="H45" s="720"/>
      <c r="I45" s="24">
        <f t="shared" si="10"/>
        <v>1</v>
      </c>
      <c r="J45" s="720"/>
      <c r="K45" s="24">
        <f t="shared" si="11"/>
        <v>1</v>
      </c>
      <c r="L45" s="720"/>
      <c r="M45" s="24">
        <f t="shared" si="12"/>
        <v>1</v>
      </c>
      <c r="N45" s="720"/>
      <c r="O45" s="24">
        <f t="shared" si="13"/>
        <v>1</v>
      </c>
      <c r="P45" s="720"/>
      <c r="Q45" s="24">
        <f t="shared" si="14"/>
        <v>1</v>
      </c>
      <c r="R45" s="717">
        <f t="shared" si="15"/>
        <v>0</v>
      </c>
      <c r="S45" s="362">
        <f t="shared" si="6"/>
        <v>0</v>
      </c>
    </row>
    <row r="46" spans="1:19">
      <c r="A46" s="160"/>
      <c r="B46" s="59"/>
      <c r="C46" s="24">
        <f t="shared" si="7"/>
        <v>1</v>
      </c>
      <c r="D46" s="720"/>
      <c r="E46" s="24">
        <f t="shared" si="8"/>
        <v>0.06</v>
      </c>
      <c r="F46" s="720"/>
      <c r="G46" s="24">
        <f t="shared" si="9"/>
        <v>1</v>
      </c>
      <c r="H46" s="720"/>
      <c r="I46" s="24">
        <f t="shared" si="10"/>
        <v>1</v>
      </c>
      <c r="J46" s="720"/>
      <c r="K46" s="24">
        <f t="shared" si="11"/>
        <v>1</v>
      </c>
      <c r="L46" s="720"/>
      <c r="M46" s="24">
        <f t="shared" si="12"/>
        <v>1</v>
      </c>
      <c r="N46" s="720"/>
      <c r="O46" s="24">
        <f t="shared" si="13"/>
        <v>1</v>
      </c>
      <c r="P46" s="720"/>
      <c r="Q46" s="24">
        <f t="shared" si="14"/>
        <v>1</v>
      </c>
      <c r="R46" s="717">
        <f t="shared" si="15"/>
        <v>0</v>
      </c>
      <c r="S46" s="362">
        <f t="shared" si="6"/>
        <v>0</v>
      </c>
    </row>
    <row r="47" spans="1:19">
      <c r="A47" s="160"/>
      <c r="B47" s="59"/>
      <c r="C47" s="24">
        <f t="shared" si="7"/>
        <v>1</v>
      </c>
      <c r="D47" s="720"/>
      <c r="E47" s="24">
        <f t="shared" si="8"/>
        <v>0.06</v>
      </c>
      <c r="F47" s="720"/>
      <c r="G47" s="24">
        <f t="shared" si="9"/>
        <v>1</v>
      </c>
      <c r="H47" s="720"/>
      <c r="I47" s="24">
        <f t="shared" si="10"/>
        <v>1</v>
      </c>
      <c r="J47" s="720"/>
      <c r="K47" s="24">
        <f t="shared" si="11"/>
        <v>1</v>
      </c>
      <c r="L47" s="720"/>
      <c r="M47" s="24">
        <f t="shared" si="12"/>
        <v>1</v>
      </c>
      <c r="N47" s="720"/>
      <c r="O47" s="24">
        <f t="shared" si="13"/>
        <v>1</v>
      </c>
      <c r="P47" s="720"/>
      <c r="Q47" s="24">
        <f t="shared" si="14"/>
        <v>1</v>
      </c>
      <c r="R47" s="717">
        <f t="shared" si="15"/>
        <v>0</v>
      </c>
      <c r="S47" s="362">
        <f t="shared" si="6"/>
        <v>0</v>
      </c>
    </row>
    <row r="48" spans="1:19">
      <c r="A48" s="160"/>
      <c r="B48" s="59"/>
      <c r="C48" s="24">
        <f t="shared" si="7"/>
        <v>1</v>
      </c>
      <c r="D48" s="720"/>
      <c r="E48" s="24">
        <f t="shared" si="8"/>
        <v>0.06</v>
      </c>
      <c r="F48" s="720"/>
      <c r="G48" s="24">
        <f t="shared" si="9"/>
        <v>1</v>
      </c>
      <c r="H48" s="720"/>
      <c r="I48" s="24">
        <f t="shared" si="10"/>
        <v>1</v>
      </c>
      <c r="J48" s="720"/>
      <c r="K48" s="24">
        <f t="shared" si="11"/>
        <v>1</v>
      </c>
      <c r="L48" s="720"/>
      <c r="M48" s="24">
        <f t="shared" si="12"/>
        <v>1</v>
      </c>
      <c r="N48" s="720"/>
      <c r="O48" s="24">
        <f t="shared" si="13"/>
        <v>1</v>
      </c>
      <c r="P48" s="720"/>
      <c r="Q48" s="24">
        <f t="shared" si="14"/>
        <v>1</v>
      </c>
      <c r="R48" s="717">
        <f t="shared" si="15"/>
        <v>0</v>
      </c>
      <c r="S48" s="362">
        <f t="shared" si="6"/>
        <v>0</v>
      </c>
    </row>
    <row r="49" spans="1:19">
      <c r="A49" s="160"/>
      <c r="B49" s="59"/>
      <c r="C49" s="24">
        <f t="shared" si="7"/>
        <v>1</v>
      </c>
      <c r="D49" s="720"/>
      <c r="E49" s="24">
        <f t="shared" si="8"/>
        <v>0.06</v>
      </c>
      <c r="F49" s="720"/>
      <c r="G49" s="24">
        <f t="shared" si="9"/>
        <v>1</v>
      </c>
      <c r="H49" s="720"/>
      <c r="I49" s="24">
        <f t="shared" si="10"/>
        <v>1</v>
      </c>
      <c r="J49" s="720"/>
      <c r="K49" s="24">
        <f t="shared" si="11"/>
        <v>1</v>
      </c>
      <c r="L49" s="720"/>
      <c r="M49" s="24">
        <f t="shared" si="12"/>
        <v>1</v>
      </c>
      <c r="N49" s="720"/>
      <c r="O49" s="24">
        <f t="shared" si="13"/>
        <v>1</v>
      </c>
      <c r="P49" s="720"/>
      <c r="Q49" s="24">
        <f t="shared" si="14"/>
        <v>1</v>
      </c>
      <c r="R49" s="717">
        <f t="shared" si="15"/>
        <v>0</v>
      </c>
      <c r="S49" s="362">
        <f t="shared" si="6"/>
        <v>0</v>
      </c>
    </row>
    <row r="50" spans="1:19">
      <c r="A50" s="160"/>
      <c r="B50" s="59"/>
      <c r="C50" s="24">
        <f t="shared" si="7"/>
        <v>1</v>
      </c>
      <c r="D50" s="720"/>
      <c r="E50" s="24">
        <f t="shared" si="8"/>
        <v>0.06</v>
      </c>
      <c r="F50" s="720"/>
      <c r="G50" s="24">
        <f t="shared" si="9"/>
        <v>1</v>
      </c>
      <c r="H50" s="720"/>
      <c r="I50" s="24">
        <f t="shared" si="10"/>
        <v>1</v>
      </c>
      <c r="J50" s="720"/>
      <c r="K50" s="24">
        <f t="shared" si="11"/>
        <v>1</v>
      </c>
      <c r="L50" s="720"/>
      <c r="M50" s="24">
        <f t="shared" si="12"/>
        <v>1</v>
      </c>
      <c r="N50" s="720"/>
      <c r="O50" s="24">
        <f t="shared" si="13"/>
        <v>1</v>
      </c>
      <c r="P50" s="720"/>
      <c r="Q50" s="24">
        <f t="shared" si="14"/>
        <v>1</v>
      </c>
      <c r="R50" s="717">
        <f t="shared" si="15"/>
        <v>0</v>
      </c>
      <c r="S50" s="362">
        <f t="shared" si="6"/>
        <v>0</v>
      </c>
    </row>
    <row r="51" spans="1:19">
      <c r="A51" s="160"/>
      <c r="B51" s="59"/>
      <c r="C51" s="24">
        <f t="shared" si="7"/>
        <v>1</v>
      </c>
      <c r="D51" s="720"/>
      <c r="E51" s="24">
        <f t="shared" si="8"/>
        <v>0.06</v>
      </c>
      <c r="F51" s="720"/>
      <c r="G51" s="24">
        <f t="shared" si="9"/>
        <v>1</v>
      </c>
      <c r="H51" s="720"/>
      <c r="I51" s="24">
        <f t="shared" si="10"/>
        <v>1</v>
      </c>
      <c r="J51" s="720"/>
      <c r="K51" s="24">
        <f t="shared" si="11"/>
        <v>1</v>
      </c>
      <c r="L51" s="720"/>
      <c r="M51" s="24">
        <f t="shared" si="12"/>
        <v>1</v>
      </c>
      <c r="N51" s="720"/>
      <c r="O51" s="24">
        <f t="shared" si="13"/>
        <v>1</v>
      </c>
      <c r="P51" s="720"/>
      <c r="Q51" s="24">
        <f t="shared" si="14"/>
        <v>1</v>
      </c>
      <c r="R51" s="717">
        <f t="shared" si="15"/>
        <v>0</v>
      </c>
      <c r="S51" s="362">
        <f t="shared" si="6"/>
        <v>0</v>
      </c>
    </row>
    <row r="52" spans="1:19">
      <c r="A52" s="160"/>
      <c r="B52" s="59"/>
      <c r="C52" s="24">
        <f t="shared" si="7"/>
        <v>1</v>
      </c>
      <c r="D52" s="720"/>
      <c r="E52" s="24">
        <f t="shared" si="8"/>
        <v>0.06</v>
      </c>
      <c r="F52" s="720"/>
      <c r="G52" s="24">
        <f t="shared" si="9"/>
        <v>1</v>
      </c>
      <c r="H52" s="720"/>
      <c r="I52" s="24">
        <f t="shared" si="10"/>
        <v>1</v>
      </c>
      <c r="J52" s="720"/>
      <c r="K52" s="24">
        <f t="shared" si="11"/>
        <v>1</v>
      </c>
      <c r="L52" s="720"/>
      <c r="M52" s="24">
        <f t="shared" si="12"/>
        <v>1</v>
      </c>
      <c r="N52" s="720"/>
      <c r="O52" s="24">
        <f t="shared" si="13"/>
        <v>1</v>
      </c>
      <c r="P52" s="720"/>
      <c r="Q52" s="24">
        <f t="shared" si="14"/>
        <v>1</v>
      </c>
      <c r="R52" s="717">
        <f t="shared" si="15"/>
        <v>0</v>
      </c>
      <c r="S52" s="362">
        <f t="shared" si="6"/>
        <v>0</v>
      </c>
    </row>
    <row r="53" spans="1:19">
      <c r="A53" s="160"/>
      <c r="B53" s="59"/>
      <c r="C53" s="24">
        <f t="shared" si="7"/>
        <v>1</v>
      </c>
      <c r="D53" s="720"/>
      <c r="E53" s="24">
        <f t="shared" si="8"/>
        <v>0.06</v>
      </c>
      <c r="F53" s="720"/>
      <c r="G53" s="24">
        <f t="shared" si="9"/>
        <v>1</v>
      </c>
      <c r="H53" s="720"/>
      <c r="I53" s="24">
        <f t="shared" si="10"/>
        <v>1</v>
      </c>
      <c r="J53" s="720"/>
      <c r="K53" s="24">
        <f t="shared" si="11"/>
        <v>1</v>
      </c>
      <c r="L53" s="720"/>
      <c r="M53" s="24">
        <f t="shared" si="12"/>
        <v>1</v>
      </c>
      <c r="N53" s="720"/>
      <c r="O53" s="24">
        <f t="shared" si="13"/>
        <v>1</v>
      </c>
      <c r="P53" s="720"/>
      <c r="Q53" s="24">
        <f t="shared" si="14"/>
        <v>1</v>
      </c>
      <c r="R53" s="717">
        <f t="shared" si="15"/>
        <v>0</v>
      </c>
      <c r="S53" s="362">
        <f t="shared" si="6"/>
        <v>0</v>
      </c>
    </row>
    <row r="54" spans="1:19">
      <c r="A54" s="160"/>
      <c r="B54" s="59"/>
      <c r="C54" s="24">
        <f t="shared" si="7"/>
        <v>1</v>
      </c>
      <c r="D54" s="720"/>
      <c r="E54" s="24">
        <f t="shared" si="8"/>
        <v>0.06</v>
      </c>
      <c r="F54" s="720"/>
      <c r="G54" s="24">
        <f t="shared" si="9"/>
        <v>1</v>
      </c>
      <c r="H54" s="720"/>
      <c r="I54" s="24">
        <f t="shared" si="10"/>
        <v>1</v>
      </c>
      <c r="J54" s="720"/>
      <c r="K54" s="24">
        <f t="shared" si="11"/>
        <v>1</v>
      </c>
      <c r="L54" s="720"/>
      <c r="M54" s="24">
        <f t="shared" si="12"/>
        <v>1</v>
      </c>
      <c r="N54" s="720"/>
      <c r="O54" s="24">
        <f t="shared" si="13"/>
        <v>1</v>
      </c>
      <c r="P54" s="720"/>
      <c r="Q54" s="24">
        <f t="shared" si="14"/>
        <v>1</v>
      </c>
      <c r="R54" s="717">
        <f t="shared" si="15"/>
        <v>0</v>
      </c>
      <c r="S54" s="362">
        <f t="shared" si="6"/>
        <v>0</v>
      </c>
    </row>
    <row r="55" spans="1:19">
      <c r="A55" s="160"/>
      <c r="B55" s="59"/>
      <c r="C55" s="24">
        <f t="shared" si="7"/>
        <v>1</v>
      </c>
      <c r="D55" s="720"/>
      <c r="E55" s="24">
        <f t="shared" si="8"/>
        <v>0.06</v>
      </c>
      <c r="F55" s="720"/>
      <c r="G55" s="24">
        <f t="shared" si="9"/>
        <v>1</v>
      </c>
      <c r="H55" s="720"/>
      <c r="I55" s="24">
        <f t="shared" si="10"/>
        <v>1</v>
      </c>
      <c r="J55" s="720"/>
      <c r="K55" s="24">
        <f t="shared" si="11"/>
        <v>1</v>
      </c>
      <c r="L55" s="720"/>
      <c r="M55" s="24">
        <f t="shared" si="12"/>
        <v>1</v>
      </c>
      <c r="N55" s="720"/>
      <c r="O55" s="24">
        <f t="shared" si="13"/>
        <v>1</v>
      </c>
      <c r="P55" s="720"/>
      <c r="Q55" s="24">
        <f t="shared" si="14"/>
        <v>1</v>
      </c>
      <c r="R55" s="717">
        <f t="shared" si="15"/>
        <v>0</v>
      </c>
      <c r="S55" s="362">
        <f t="shared" ref="S55:S77" si="16">ROUND(R55*B55/10000,0)</f>
        <v>0</v>
      </c>
    </row>
    <row r="56" spans="1:19">
      <c r="A56" s="160"/>
      <c r="B56" s="59"/>
      <c r="C56" s="24">
        <f t="shared" si="7"/>
        <v>1</v>
      </c>
      <c r="D56" s="720"/>
      <c r="E56" s="24">
        <f t="shared" si="8"/>
        <v>0.06</v>
      </c>
      <c r="F56" s="720"/>
      <c r="G56" s="24">
        <f t="shared" si="9"/>
        <v>1</v>
      </c>
      <c r="H56" s="720"/>
      <c r="I56" s="24">
        <f t="shared" si="10"/>
        <v>1</v>
      </c>
      <c r="J56" s="720"/>
      <c r="K56" s="24">
        <f t="shared" si="11"/>
        <v>1</v>
      </c>
      <c r="L56" s="720"/>
      <c r="M56" s="24">
        <f t="shared" si="12"/>
        <v>1</v>
      </c>
      <c r="N56" s="720"/>
      <c r="O56" s="24">
        <f t="shared" si="13"/>
        <v>1</v>
      </c>
      <c r="P56" s="720"/>
      <c r="Q56" s="24">
        <f t="shared" si="14"/>
        <v>1</v>
      </c>
      <c r="R56" s="717">
        <f t="shared" si="15"/>
        <v>0</v>
      </c>
      <c r="S56" s="362">
        <f t="shared" si="16"/>
        <v>0</v>
      </c>
    </row>
    <row r="57" spans="1:19">
      <c r="A57" s="160"/>
      <c r="B57" s="59"/>
      <c r="C57" s="24">
        <f t="shared" si="7"/>
        <v>1</v>
      </c>
      <c r="D57" s="720"/>
      <c r="E57" s="24">
        <f t="shared" si="8"/>
        <v>0.06</v>
      </c>
      <c r="F57" s="720"/>
      <c r="G57" s="24">
        <f t="shared" si="9"/>
        <v>1</v>
      </c>
      <c r="H57" s="720"/>
      <c r="I57" s="24">
        <f t="shared" si="10"/>
        <v>1</v>
      </c>
      <c r="J57" s="720"/>
      <c r="K57" s="24">
        <f t="shared" si="11"/>
        <v>1</v>
      </c>
      <c r="L57" s="720"/>
      <c r="M57" s="24">
        <f t="shared" si="12"/>
        <v>1</v>
      </c>
      <c r="N57" s="720"/>
      <c r="O57" s="24">
        <f t="shared" si="13"/>
        <v>1</v>
      </c>
      <c r="P57" s="720"/>
      <c r="Q57" s="24">
        <f t="shared" si="14"/>
        <v>1</v>
      </c>
      <c r="R57" s="717">
        <f t="shared" si="15"/>
        <v>0</v>
      </c>
      <c r="S57" s="362">
        <f t="shared" si="16"/>
        <v>0</v>
      </c>
    </row>
    <row r="58" spans="1:19">
      <c r="A58" s="160"/>
      <c r="B58" s="59"/>
      <c r="C58" s="24">
        <f t="shared" si="7"/>
        <v>1</v>
      </c>
      <c r="D58" s="720"/>
      <c r="E58" s="24">
        <f t="shared" si="8"/>
        <v>0.06</v>
      </c>
      <c r="F58" s="720"/>
      <c r="G58" s="24">
        <f t="shared" si="9"/>
        <v>1</v>
      </c>
      <c r="H58" s="720"/>
      <c r="I58" s="24">
        <f t="shared" si="10"/>
        <v>1</v>
      </c>
      <c r="J58" s="720"/>
      <c r="K58" s="24">
        <f t="shared" si="11"/>
        <v>1</v>
      </c>
      <c r="L58" s="720"/>
      <c r="M58" s="24">
        <f t="shared" si="12"/>
        <v>1</v>
      </c>
      <c r="N58" s="720"/>
      <c r="O58" s="24">
        <f t="shared" si="13"/>
        <v>1</v>
      </c>
      <c r="P58" s="720"/>
      <c r="Q58" s="24">
        <f t="shared" si="14"/>
        <v>1</v>
      </c>
      <c r="R58" s="717">
        <f t="shared" si="15"/>
        <v>0</v>
      </c>
      <c r="S58" s="362">
        <f t="shared" si="16"/>
        <v>0</v>
      </c>
    </row>
    <row r="59" spans="1:19">
      <c r="A59" s="160"/>
      <c r="B59" s="59"/>
      <c r="C59" s="24">
        <f t="shared" si="7"/>
        <v>1</v>
      </c>
      <c r="D59" s="720"/>
      <c r="E59" s="24">
        <f t="shared" si="8"/>
        <v>0.06</v>
      </c>
      <c r="F59" s="720"/>
      <c r="G59" s="24">
        <f t="shared" si="9"/>
        <v>1</v>
      </c>
      <c r="H59" s="720"/>
      <c r="I59" s="24">
        <f t="shared" si="10"/>
        <v>1</v>
      </c>
      <c r="J59" s="720"/>
      <c r="K59" s="24">
        <f t="shared" si="11"/>
        <v>1</v>
      </c>
      <c r="L59" s="720"/>
      <c r="M59" s="24">
        <f t="shared" si="12"/>
        <v>1</v>
      </c>
      <c r="N59" s="720"/>
      <c r="O59" s="24">
        <f t="shared" si="13"/>
        <v>1</v>
      </c>
      <c r="P59" s="720"/>
      <c r="Q59" s="24">
        <f t="shared" si="14"/>
        <v>1</v>
      </c>
      <c r="R59" s="717">
        <f t="shared" si="15"/>
        <v>0</v>
      </c>
      <c r="S59" s="362">
        <f t="shared" si="16"/>
        <v>0</v>
      </c>
    </row>
    <row r="60" spans="1:19">
      <c r="A60" s="160"/>
      <c r="B60" s="59"/>
      <c r="C60" s="24">
        <f t="shared" si="7"/>
        <v>1</v>
      </c>
      <c r="D60" s="720"/>
      <c r="E60" s="24">
        <f t="shared" si="8"/>
        <v>0.06</v>
      </c>
      <c r="F60" s="720"/>
      <c r="G60" s="24">
        <f t="shared" si="9"/>
        <v>1</v>
      </c>
      <c r="H60" s="720"/>
      <c r="I60" s="24">
        <f t="shared" si="10"/>
        <v>1</v>
      </c>
      <c r="J60" s="720"/>
      <c r="K60" s="24">
        <f t="shared" si="11"/>
        <v>1</v>
      </c>
      <c r="L60" s="720"/>
      <c r="M60" s="24">
        <f t="shared" si="12"/>
        <v>1</v>
      </c>
      <c r="N60" s="720"/>
      <c r="O60" s="24">
        <f t="shared" si="13"/>
        <v>1</v>
      </c>
      <c r="P60" s="720"/>
      <c r="Q60" s="24">
        <f t="shared" si="14"/>
        <v>1</v>
      </c>
      <c r="R60" s="717">
        <f t="shared" si="15"/>
        <v>0</v>
      </c>
      <c r="S60" s="362">
        <f t="shared" si="16"/>
        <v>0</v>
      </c>
    </row>
    <row r="61" spans="1:19">
      <c r="A61" s="160"/>
      <c r="B61" s="59"/>
      <c r="C61" s="24">
        <f t="shared" si="7"/>
        <v>1</v>
      </c>
      <c r="D61" s="720"/>
      <c r="E61" s="24">
        <f t="shared" si="8"/>
        <v>0.06</v>
      </c>
      <c r="F61" s="720"/>
      <c r="G61" s="24">
        <f t="shared" si="9"/>
        <v>1</v>
      </c>
      <c r="H61" s="720"/>
      <c r="I61" s="24">
        <f t="shared" si="10"/>
        <v>1</v>
      </c>
      <c r="J61" s="720"/>
      <c r="K61" s="24">
        <f t="shared" si="11"/>
        <v>1</v>
      </c>
      <c r="L61" s="720"/>
      <c r="M61" s="24">
        <f t="shared" si="12"/>
        <v>1</v>
      </c>
      <c r="N61" s="720"/>
      <c r="O61" s="24">
        <f t="shared" si="13"/>
        <v>1</v>
      </c>
      <c r="P61" s="720"/>
      <c r="Q61" s="24">
        <f t="shared" si="14"/>
        <v>1</v>
      </c>
      <c r="R61" s="717">
        <f t="shared" si="15"/>
        <v>0</v>
      </c>
      <c r="S61" s="362">
        <f t="shared" si="16"/>
        <v>0</v>
      </c>
    </row>
    <row r="62" spans="1:19">
      <c r="A62" s="160"/>
      <c r="B62" s="59"/>
      <c r="C62" s="24">
        <f t="shared" si="7"/>
        <v>1</v>
      </c>
      <c r="D62" s="720"/>
      <c r="E62" s="24">
        <f t="shared" si="8"/>
        <v>0.06</v>
      </c>
      <c r="F62" s="720"/>
      <c r="G62" s="24">
        <f t="shared" si="9"/>
        <v>1</v>
      </c>
      <c r="H62" s="720"/>
      <c r="I62" s="24">
        <f t="shared" si="10"/>
        <v>1</v>
      </c>
      <c r="J62" s="720"/>
      <c r="K62" s="24">
        <f t="shared" si="11"/>
        <v>1</v>
      </c>
      <c r="L62" s="720"/>
      <c r="M62" s="24">
        <f t="shared" si="12"/>
        <v>1</v>
      </c>
      <c r="N62" s="720"/>
      <c r="O62" s="24">
        <f t="shared" si="13"/>
        <v>1</v>
      </c>
      <c r="P62" s="720"/>
      <c r="Q62" s="24">
        <f t="shared" si="14"/>
        <v>1</v>
      </c>
      <c r="R62" s="717">
        <f t="shared" si="15"/>
        <v>0</v>
      </c>
      <c r="S62" s="362">
        <f t="shared" si="16"/>
        <v>0</v>
      </c>
    </row>
    <row r="63" spans="1:19">
      <c r="A63" s="160"/>
      <c r="B63" s="59"/>
      <c r="C63" s="24">
        <f t="shared" si="7"/>
        <v>1</v>
      </c>
      <c r="D63" s="720"/>
      <c r="E63" s="24">
        <f t="shared" si="8"/>
        <v>0.06</v>
      </c>
      <c r="F63" s="720"/>
      <c r="G63" s="24">
        <f t="shared" si="9"/>
        <v>1</v>
      </c>
      <c r="H63" s="720"/>
      <c r="I63" s="24">
        <f t="shared" si="10"/>
        <v>1</v>
      </c>
      <c r="J63" s="720"/>
      <c r="K63" s="24">
        <f t="shared" si="11"/>
        <v>1</v>
      </c>
      <c r="L63" s="720"/>
      <c r="M63" s="24">
        <f t="shared" si="12"/>
        <v>1</v>
      </c>
      <c r="N63" s="720"/>
      <c r="O63" s="24">
        <f t="shared" si="13"/>
        <v>1</v>
      </c>
      <c r="P63" s="720"/>
      <c r="Q63" s="24">
        <f t="shared" si="14"/>
        <v>1</v>
      </c>
      <c r="R63" s="717">
        <f t="shared" si="15"/>
        <v>0</v>
      </c>
      <c r="S63" s="362">
        <f t="shared" si="16"/>
        <v>0</v>
      </c>
    </row>
    <row r="64" spans="1:19">
      <c r="A64" s="160"/>
      <c r="B64" s="59"/>
      <c r="C64" s="24">
        <f t="shared" si="7"/>
        <v>1</v>
      </c>
      <c r="D64" s="720"/>
      <c r="E64" s="24">
        <f t="shared" si="8"/>
        <v>0.06</v>
      </c>
      <c r="F64" s="720"/>
      <c r="G64" s="24">
        <f t="shared" si="9"/>
        <v>1</v>
      </c>
      <c r="H64" s="720"/>
      <c r="I64" s="24">
        <f t="shared" si="10"/>
        <v>1</v>
      </c>
      <c r="J64" s="720"/>
      <c r="K64" s="24">
        <f t="shared" si="11"/>
        <v>1</v>
      </c>
      <c r="L64" s="720"/>
      <c r="M64" s="24">
        <f t="shared" si="12"/>
        <v>1</v>
      </c>
      <c r="N64" s="720"/>
      <c r="O64" s="24">
        <f t="shared" si="13"/>
        <v>1</v>
      </c>
      <c r="P64" s="720"/>
      <c r="Q64" s="24">
        <f t="shared" si="14"/>
        <v>1</v>
      </c>
      <c r="R64" s="717">
        <f t="shared" si="15"/>
        <v>0</v>
      </c>
      <c r="S64" s="362">
        <f t="shared" si="16"/>
        <v>0</v>
      </c>
    </row>
    <row r="65" spans="1:19">
      <c r="A65" s="160"/>
      <c r="B65" s="59"/>
      <c r="C65" s="24">
        <f t="shared" si="7"/>
        <v>1</v>
      </c>
      <c r="D65" s="720"/>
      <c r="E65" s="24">
        <f t="shared" si="8"/>
        <v>0.06</v>
      </c>
      <c r="F65" s="720"/>
      <c r="G65" s="24">
        <f t="shared" si="9"/>
        <v>1</v>
      </c>
      <c r="H65" s="720"/>
      <c r="I65" s="24">
        <f t="shared" si="10"/>
        <v>1</v>
      </c>
      <c r="J65" s="720"/>
      <c r="K65" s="24">
        <f t="shared" si="11"/>
        <v>1</v>
      </c>
      <c r="L65" s="720"/>
      <c r="M65" s="24">
        <f t="shared" si="12"/>
        <v>1</v>
      </c>
      <c r="N65" s="720"/>
      <c r="O65" s="24">
        <f t="shared" si="13"/>
        <v>1</v>
      </c>
      <c r="P65" s="720"/>
      <c r="Q65" s="24">
        <f t="shared" si="14"/>
        <v>1</v>
      </c>
      <c r="R65" s="717">
        <f t="shared" si="15"/>
        <v>0</v>
      </c>
      <c r="S65" s="362">
        <f t="shared" si="16"/>
        <v>0</v>
      </c>
    </row>
    <row r="66" spans="1:19">
      <c r="A66" s="160"/>
      <c r="B66" s="59"/>
      <c r="C66" s="24">
        <f t="shared" si="7"/>
        <v>1</v>
      </c>
      <c r="D66" s="720"/>
      <c r="E66" s="24">
        <f t="shared" si="8"/>
        <v>0.06</v>
      </c>
      <c r="F66" s="720"/>
      <c r="G66" s="24">
        <f t="shared" si="9"/>
        <v>1</v>
      </c>
      <c r="H66" s="720"/>
      <c r="I66" s="24">
        <f t="shared" si="10"/>
        <v>1</v>
      </c>
      <c r="J66" s="720"/>
      <c r="K66" s="24">
        <f t="shared" si="11"/>
        <v>1</v>
      </c>
      <c r="L66" s="720"/>
      <c r="M66" s="24">
        <f t="shared" si="12"/>
        <v>1</v>
      </c>
      <c r="N66" s="720"/>
      <c r="O66" s="24">
        <f t="shared" si="13"/>
        <v>1</v>
      </c>
      <c r="P66" s="720"/>
      <c r="Q66" s="24">
        <f t="shared" si="14"/>
        <v>1</v>
      </c>
      <c r="R66" s="717">
        <f t="shared" si="15"/>
        <v>0</v>
      </c>
      <c r="S66" s="362">
        <f t="shared" si="16"/>
        <v>0</v>
      </c>
    </row>
    <row r="67" spans="1:19">
      <c r="A67" s="160"/>
      <c r="B67" s="59"/>
      <c r="C67" s="24">
        <f t="shared" si="7"/>
        <v>1</v>
      </c>
      <c r="D67" s="720"/>
      <c r="E67" s="24">
        <f t="shared" si="8"/>
        <v>0.06</v>
      </c>
      <c r="F67" s="720"/>
      <c r="G67" s="24">
        <f t="shared" si="9"/>
        <v>1</v>
      </c>
      <c r="H67" s="720"/>
      <c r="I67" s="24">
        <f t="shared" si="10"/>
        <v>1</v>
      </c>
      <c r="J67" s="720"/>
      <c r="K67" s="24">
        <f t="shared" si="11"/>
        <v>1</v>
      </c>
      <c r="L67" s="720"/>
      <c r="M67" s="24">
        <f t="shared" si="12"/>
        <v>1</v>
      </c>
      <c r="N67" s="720"/>
      <c r="O67" s="24">
        <f t="shared" si="13"/>
        <v>1</v>
      </c>
      <c r="P67" s="720"/>
      <c r="Q67" s="24">
        <f t="shared" si="14"/>
        <v>1</v>
      </c>
      <c r="R67" s="717">
        <f t="shared" si="15"/>
        <v>0</v>
      </c>
      <c r="S67" s="362">
        <f t="shared" si="16"/>
        <v>0</v>
      </c>
    </row>
    <row r="68" spans="1:19">
      <c r="A68" s="160"/>
      <c r="B68" s="59"/>
      <c r="C68" s="24">
        <f t="shared" si="7"/>
        <v>1</v>
      </c>
      <c r="D68" s="720"/>
      <c r="E68" s="24">
        <f t="shared" si="8"/>
        <v>0.06</v>
      </c>
      <c r="F68" s="720"/>
      <c r="G68" s="24">
        <f t="shared" si="9"/>
        <v>1</v>
      </c>
      <c r="H68" s="720"/>
      <c r="I68" s="24">
        <f t="shared" si="10"/>
        <v>1</v>
      </c>
      <c r="J68" s="720"/>
      <c r="K68" s="24">
        <f t="shared" si="11"/>
        <v>1</v>
      </c>
      <c r="L68" s="720"/>
      <c r="M68" s="24">
        <f t="shared" si="12"/>
        <v>1</v>
      </c>
      <c r="N68" s="720"/>
      <c r="O68" s="24">
        <f t="shared" si="13"/>
        <v>1</v>
      </c>
      <c r="P68" s="720"/>
      <c r="Q68" s="24">
        <f t="shared" si="14"/>
        <v>1</v>
      </c>
      <c r="R68" s="717">
        <f t="shared" si="15"/>
        <v>0</v>
      </c>
      <c r="S68" s="362">
        <f t="shared" si="16"/>
        <v>0</v>
      </c>
    </row>
    <row r="69" spans="1:19">
      <c r="A69" s="160"/>
      <c r="B69" s="59"/>
      <c r="C69" s="24">
        <f t="shared" si="7"/>
        <v>1</v>
      </c>
      <c r="D69" s="720"/>
      <c r="E69" s="24">
        <f t="shared" si="8"/>
        <v>0.06</v>
      </c>
      <c r="F69" s="720"/>
      <c r="G69" s="24">
        <f t="shared" si="9"/>
        <v>1</v>
      </c>
      <c r="H69" s="720"/>
      <c r="I69" s="24">
        <f t="shared" si="10"/>
        <v>1</v>
      </c>
      <c r="J69" s="720"/>
      <c r="K69" s="24">
        <f t="shared" si="11"/>
        <v>1</v>
      </c>
      <c r="L69" s="720"/>
      <c r="M69" s="24">
        <f t="shared" si="12"/>
        <v>1</v>
      </c>
      <c r="N69" s="720"/>
      <c r="O69" s="24">
        <f t="shared" si="13"/>
        <v>1</v>
      </c>
      <c r="P69" s="720"/>
      <c r="Q69" s="24">
        <f t="shared" si="14"/>
        <v>1</v>
      </c>
      <c r="R69" s="717">
        <f t="shared" si="15"/>
        <v>0</v>
      </c>
      <c r="S69" s="362">
        <f t="shared" si="16"/>
        <v>0</v>
      </c>
    </row>
    <row r="70" spans="1:19">
      <c r="A70" s="160"/>
      <c r="B70" s="59"/>
      <c r="C70" s="24">
        <f t="shared" si="7"/>
        <v>1</v>
      </c>
      <c r="D70" s="720"/>
      <c r="E70" s="24">
        <f t="shared" si="8"/>
        <v>0.06</v>
      </c>
      <c r="F70" s="720"/>
      <c r="G70" s="24">
        <f t="shared" si="9"/>
        <v>1</v>
      </c>
      <c r="H70" s="720"/>
      <c r="I70" s="24">
        <f t="shared" si="10"/>
        <v>1</v>
      </c>
      <c r="J70" s="720"/>
      <c r="K70" s="24">
        <f t="shared" si="11"/>
        <v>1</v>
      </c>
      <c r="L70" s="720"/>
      <c r="M70" s="24">
        <f t="shared" si="12"/>
        <v>1</v>
      </c>
      <c r="N70" s="720"/>
      <c r="O70" s="24">
        <f t="shared" si="13"/>
        <v>1</v>
      </c>
      <c r="P70" s="720"/>
      <c r="Q70" s="24">
        <f t="shared" si="14"/>
        <v>1</v>
      </c>
      <c r="R70" s="717">
        <f t="shared" si="15"/>
        <v>0</v>
      </c>
      <c r="S70" s="362">
        <f t="shared" si="16"/>
        <v>0</v>
      </c>
    </row>
    <row r="71" spans="1:19">
      <c r="A71" s="160"/>
      <c r="B71" s="59"/>
      <c r="C71" s="24">
        <f t="shared" si="7"/>
        <v>1</v>
      </c>
      <c r="D71" s="720"/>
      <c r="E71" s="24">
        <f t="shared" si="8"/>
        <v>0.06</v>
      </c>
      <c r="F71" s="720"/>
      <c r="G71" s="24">
        <f t="shared" si="9"/>
        <v>1</v>
      </c>
      <c r="H71" s="720"/>
      <c r="I71" s="24">
        <f t="shared" si="10"/>
        <v>1</v>
      </c>
      <c r="J71" s="720"/>
      <c r="K71" s="24">
        <f t="shared" si="11"/>
        <v>1</v>
      </c>
      <c r="L71" s="720"/>
      <c r="M71" s="24">
        <f t="shared" si="12"/>
        <v>1</v>
      </c>
      <c r="N71" s="720"/>
      <c r="O71" s="24">
        <f t="shared" si="13"/>
        <v>1</v>
      </c>
      <c r="P71" s="720"/>
      <c r="Q71" s="24">
        <f t="shared" si="14"/>
        <v>1</v>
      </c>
      <c r="R71" s="717">
        <f t="shared" si="15"/>
        <v>0</v>
      </c>
      <c r="S71" s="362">
        <f t="shared" si="16"/>
        <v>0</v>
      </c>
    </row>
    <row r="72" spans="1:19">
      <c r="A72" s="160"/>
      <c r="B72" s="59"/>
      <c r="C72" s="24">
        <f t="shared" si="7"/>
        <v>1</v>
      </c>
      <c r="D72" s="720"/>
      <c r="E72" s="24">
        <f t="shared" si="8"/>
        <v>0.06</v>
      </c>
      <c r="F72" s="720"/>
      <c r="G72" s="24">
        <f t="shared" si="9"/>
        <v>1</v>
      </c>
      <c r="H72" s="720"/>
      <c r="I72" s="24">
        <f t="shared" si="10"/>
        <v>1</v>
      </c>
      <c r="J72" s="720"/>
      <c r="K72" s="24">
        <f t="shared" si="11"/>
        <v>1</v>
      </c>
      <c r="L72" s="720"/>
      <c r="M72" s="24">
        <f t="shared" si="12"/>
        <v>1</v>
      </c>
      <c r="N72" s="720"/>
      <c r="O72" s="24">
        <f t="shared" si="13"/>
        <v>1</v>
      </c>
      <c r="P72" s="720"/>
      <c r="Q72" s="24">
        <f t="shared" si="14"/>
        <v>1</v>
      </c>
      <c r="R72" s="717">
        <f t="shared" si="15"/>
        <v>0</v>
      </c>
      <c r="S72" s="362">
        <f t="shared" si="16"/>
        <v>0</v>
      </c>
    </row>
    <row r="73" spans="1:19">
      <c r="A73" s="160"/>
      <c r="B73" s="59"/>
      <c r="C73" s="24">
        <f t="shared" si="7"/>
        <v>1</v>
      </c>
      <c r="D73" s="720"/>
      <c r="E73" s="24">
        <f t="shared" si="8"/>
        <v>0.06</v>
      </c>
      <c r="F73" s="720"/>
      <c r="G73" s="24">
        <f t="shared" si="9"/>
        <v>1</v>
      </c>
      <c r="H73" s="720"/>
      <c r="I73" s="24">
        <f t="shared" si="10"/>
        <v>1</v>
      </c>
      <c r="J73" s="720"/>
      <c r="K73" s="24">
        <f t="shared" si="11"/>
        <v>1</v>
      </c>
      <c r="L73" s="720"/>
      <c r="M73" s="24">
        <f t="shared" si="12"/>
        <v>1</v>
      </c>
      <c r="N73" s="720"/>
      <c r="O73" s="24">
        <f t="shared" si="13"/>
        <v>1</v>
      </c>
      <c r="P73" s="720"/>
      <c r="Q73" s="24">
        <f t="shared" si="14"/>
        <v>1</v>
      </c>
      <c r="R73" s="717">
        <f t="shared" si="15"/>
        <v>0</v>
      </c>
      <c r="S73" s="362">
        <f t="shared" si="16"/>
        <v>0</v>
      </c>
    </row>
    <row r="74" spans="1:19">
      <c r="A74" s="160"/>
      <c r="B74" s="59"/>
      <c r="C74" s="24">
        <f t="shared" si="7"/>
        <v>1</v>
      </c>
      <c r="D74" s="720"/>
      <c r="E74" s="24">
        <f t="shared" si="8"/>
        <v>0.06</v>
      </c>
      <c r="F74" s="720"/>
      <c r="G74" s="24">
        <f t="shared" si="9"/>
        <v>1</v>
      </c>
      <c r="H74" s="720"/>
      <c r="I74" s="24">
        <f t="shared" si="10"/>
        <v>1</v>
      </c>
      <c r="J74" s="720"/>
      <c r="K74" s="24">
        <f t="shared" si="11"/>
        <v>1</v>
      </c>
      <c r="L74" s="720"/>
      <c r="M74" s="24">
        <f t="shared" si="12"/>
        <v>1</v>
      </c>
      <c r="N74" s="720"/>
      <c r="O74" s="24">
        <f t="shared" si="13"/>
        <v>1</v>
      </c>
      <c r="P74" s="720"/>
      <c r="Q74" s="24">
        <f t="shared" si="14"/>
        <v>1</v>
      </c>
      <c r="R74" s="717">
        <f t="shared" si="15"/>
        <v>0</v>
      </c>
      <c r="S74" s="362">
        <f t="shared" si="16"/>
        <v>0</v>
      </c>
    </row>
    <row r="75" spans="1:19">
      <c r="A75" s="160"/>
      <c r="B75" s="59"/>
      <c r="C75" s="24">
        <f t="shared" si="7"/>
        <v>1</v>
      </c>
      <c r="D75" s="720"/>
      <c r="E75" s="24">
        <f t="shared" si="8"/>
        <v>0.06</v>
      </c>
      <c r="F75" s="720"/>
      <c r="G75" s="24">
        <f t="shared" si="9"/>
        <v>1</v>
      </c>
      <c r="H75" s="720"/>
      <c r="I75" s="24">
        <f t="shared" si="10"/>
        <v>1</v>
      </c>
      <c r="J75" s="720"/>
      <c r="K75" s="24">
        <f t="shared" si="11"/>
        <v>1</v>
      </c>
      <c r="L75" s="720"/>
      <c r="M75" s="24">
        <f t="shared" si="12"/>
        <v>1</v>
      </c>
      <c r="N75" s="720"/>
      <c r="O75" s="24">
        <f t="shared" si="13"/>
        <v>1</v>
      </c>
      <c r="P75" s="720"/>
      <c r="Q75" s="24">
        <f t="shared" si="14"/>
        <v>1</v>
      </c>
      <c r="R75" s="717">
        <f t="shared" si="15"/>
        <v>0</v>
      </c>
      <c r="S75" s="362">
        <f t="shared" si="16"/>
        <v>0</v>
      </c>
    </row>
    <row r="76" spans="1:19">
      <c r="A76" s="160"/>
      <c r="B76" s="59"/>
      <c r="C76" s="24">
        <f t="shared" si="7"/>
        <v>1</v>
      </c>
      <c r="D76" s="720"/>
      <c r="E76" s="24">
        <f t="shared" si="8"/>
        <v>0.06</v>
      </c>
      <c r="F76" s="720"/>
      <c r="G76" s="24">
        <f t="shared" si="9"/>
        <v>1</v>
      </c>
      <c r="H76" s="720"/>
      <c r="I76" s="24">
        <f t="shared" si="10"/>
        <v>1</v>
      </c>
      <c r="J76" s="720"/>
      <c r="K76" s="24">
        <f t="shared" si="11"/>
        <v>1</v>
      </c>
      <c r="L76" s="720"/>
      <c r="M76" s="24">
        <f t="shared" si="12"/>
        <v>1</v>
      </c>
      <c r="N76" s="720"/>
      <c r="O76" s="24">
        <f t="shared" si="13"/>
        <v>1</v>
      </c>
      <c r="P76" s="720"/>
      <c r="Q76" s="24">
        <f t="shared" si="14"/>
        <v>1</v>
      </c>
      <c r="R76" s="717">
        <f t="shared" si="15"/>
        <v>0</v>
      </c>
      <c r="S76" s="362">
        <f t="shared" si="16"/>
        <v>0</v>
      </c>
    </row>
    <row r="77" spans="1:19">
      <c r="A77" s="160"/>
      <c r="B77" s="59"/>
      <c r="C77" s="24">
        <f t="shared" si="7"/>
        <v>1</v>
      </c>
      <c r="D77" s="720"/>
      <c r="E77" s="24">
        <f t="shared" si="8"/>
        <v>0.06</v>
      </c>
      <c r="F77" s="720"/>
      <c r="G77" s="24">
        <f t="shared" si="9"/>
        <v>1</v>
      </c>
      <c r="H77" s="720"/>
      <c r="I77" s="24">
        <f t="shared" si="10"/>
        <v>1</v>
      </c>
      <c r="J77" s="720"/>
      <c r="K77" s="24">
        <f t="shared" si="11"/>
        <v>1</v>
      </c>
      <c r="L77" s="720"/>
      <c r="M77" s="24">
        <f t="shared" si="12"/>
        <v>1</v>
      </c>
      <c r="N77" s="720"/>
      <c r="O77" s="24">
        <f t="shared" si="13"/>
        <v>1</v>
      </c>
      <c r="P77" s="720"/>
      <c r="Q77" s="24">
        <f t="shared" si="14"/>
        <v>1</v>
      </c>
      <c r="R77" s="717">
        <f t="shared" si="15"/>
        <v>0</v>
      </c>
      <c r="S77" s="362">
        <f t="shared" si="16"/>
        <v>0</v>
      </c>
    </row>
    <row r="78" spans="1:19">
      <c r="A78" s="160"/>
      <c r="B78" s="59"/>
      <c r="C78" s="24">
        <f t="shared" si="7"/>
        <v>1</v>
      </c>
      <c r="D78" s="720"/>
      <c r="E78" s="24">
        <f t="shared" si="8"/>
        <v>0.06</v>
      </c>
      <c r="F78" s="720"/>
      <c r="G78" s="24">
        <f t="shared" si="9"/>
        <v>1</v>
      </c>
      <c r="H78" s="720"/>
      <c r="I78" s="24">
        <f t="shared" si="10"/>
        <v>1</v>
      </c>
      <c r="J78" s="720"/>
      <c r="K78" s="24">
        <f t="shared" si="11"/>
        <v>1</v>
      </c>
      <c r="L78" s="720"/>
      <c r="M78" s="24">
        <f t="shared" si="12"/>
        <v>1</v>
      </c>
      <c r="N78" s="720"/>
      <c r="O78" s="24">
        <f t="shared" si="13"/>
        <v>1</v>
      </c>
      <c r="P78" s="720"/>
      <c r="Q78" s="24">
        <f t="shared" si="14"/>
        <v>1</v>
      </c>
      <c r="R78" s="717">
        <f t="shared" si="15"/>
        <v>0</v>
      </c>
      <c r="S78" s="362">
        <f t="shared" ref="S78:S122" si="17">ROUND(R78*B78/10000,0)</f>
        <v>0</v>
      </c>
    </row>
    <row r="79" spans="1:19">
      <c r="A79" s="160"/>
      <c r="B79" s="59"/>
      <c r="C79" s="24">
        <f t="shared" si="7"/>
        <v>1</v>
      </c>
      <c r="D79" s="720"/>
      <c r="E79" s="24">
        <f t="shared" si="8"/>
        <v>0.06</v>
      </c>
      <c r="F79" s="720"/>
      <c r="G79" s="24">
        <f t="shared" si="9"/>
        <v>1</v>
      </c>
      <c r="H79" s="720"/>
      <c r="I79" s="24">
        <f t="shared" si="10"/>
        <v>1</v>
      </c>
      <c r="J79" s="720"/>
      <c r="K79" s="24">
        <f t="shared" si="11"/>
        <v>1</v>
      </c>
      <c r="L79" s="720"/>
      <c r="M79" s="24">
        <f t="shared" si="12"/>
        <v>1</v>
      </c>
      <c r="N79" s="720"/>
      <c r="O79" s="24">
        <f t="shared" si="13"/>
        <v>1</v>
      </c>
      <c r="P79" s="720"/>
      <c r="Q79" s="24">
        <f t="shared" si="14"/>
        <v>1</v>
      </c>
      <c r="R79" s="717">
        <f t="shared" si="15"/>
        <v>0</v>
      </c>
      <c r="S79" s="362">
        <f t="shared" si="17"/>
        <v>0</v>
      </c>
    </row>
    <row r="80" spans="1:19">
      <c r="A80" s="160"/>
      <c r="B80" s="59"/>
      <c r="C80" s="24">
        <f t="shared" si="7"/>
        <v>1</v>
      </c>
      <c r="D80" s="720"/>
      <c r="E80" s="24">
        <f t="shared" si="8"/>
        <v>0.06</v>
      </c>
      <c r="F80" s="720"/>
      <c r="G80" s="24">
        <f t="shared" si="9"/>
        <v>1</v>
      </c>
      <c r="H80" s="720"/>
      <c r="I80" s="24">
        <f t="shared" si="10"/>
        <v>1</v>
      </c>
      <c r="J80" s="720"/>
      <c r="K80" s="24">
        <f t="shared" si="11"/>
        <v>1</v>
      </c>
      <c r="L80" s="720"/>
      <c r="M80" s="24">
        <f t="shared" si="12"/>
        <v>1</v>
      </c>
      <c r="N80" s="720"/>
      <c r="O80" s="24">
        <f t="shared" si="13"/>
        <v>1</v>
      </c>
      <c r="P80" s="720"/>
      <c r="Q80" s="24">
        <f t="shared" si="14"/>
        <v>1</v>
      </c>
      <c r="R80" s="717">
        <f t="shared" si="15"/>
        <v>0</v>
      </c>
      <c r="S80" s="362">
        <f t="shared" si="17"/>
        <v>0</v>
      </c>
    </row>
    <row r="81" spans="1:19">
      <c r="A81" s="160"/>
      <c r="B81" s="59"/>
      <c r="C81" s="24">
        <f t="shared" si="7"/>
        <v>1</v>
      </c>
      <c r="D81" s="720"/>
      <c r="E81" s="24">
        <f t="shared" si="8"/>
        <v>0.06</v>
      </c>
      <c r="F81" s="720"/>
      <c r="G81" s="24">
        <f t="shared" si="9"/>
        <v>1</v>
      </c>
      <c r="H81" s="720"/>
      <c r="I81" s="24">
        <f t="shared" si="10"/>
        <v>1</v>
      </c>
      <c r="J81" s="720"/>
      <c r="K81" s="24">
        <f t="shared" si="11"/>
        <v>1</v>
      </c>
      <c r="L81" s="720"/>
      <c r="M81" s="24">
        <f t="shared" si="12"/>
        <v>1</v>
      </c>
      <c r="N81" s="720"/>
      <c r="O81" s="24">
        <f t="shared" si="13"/>
        <v>1</v>
      </c>
      <c r="P81" s="720"/>
      <c r="Q81" s="24">
        <f t="shared" si="14"/>
        <v>1</v>
      </c>
      <c r="R81" s="717">
        <f t="shared" si="15"/>
        <v>0</v>
      </c>
      <c r="S81" s="362">
        <f t="shared" si="17"/>
        <v>0</v>
      </c>
    </row>
    <row r="82" spans="1:19">
      <c r="A82" s="160"/>
      <c r="B82" s="59"/>
      <c r="C82" s="24">
        <f t="shared" si="7"/>
        <v>1</v>
      </c>
      <c r="D82" s="720"/>
      <c r="E82" s="24">
        <f t="shared" si="8"/>
        <v>0.06</v>
      </c>
      <c r="F82" s="720"/>
      <c r="G82" s="24">
        <f t="shared" si="9"/>
        <v>1</v>
      </c>
      <c r="H82" s="720"/>
      <c r="I82" s="24">
        <f t="shared" si="10"/>
        <v>1</v>
      </c>
      <c r="J82" s="720"/>
      <c r="K82" s="24">
        <f t="shared" si="11"/>
        <v>1</v>
      </c>
      <c r="L82" s="720"/>
      <c r="M82" s="24">
        <f t="shared" si="12"/>
        <v>1</v>
      </c>
      <c r="N82" s="720"/>
      <c r="O82" s="24">
        <f t="shared" si="13"/>
        <v>1</v>
      </c>
      <c r="P82" s="720"/>
      <c r="Q82" s="24">
        <f t="shared" si="14"/>
        <v>1</v>
      </c>
      <c r="R82" s="717">
        <f t="shared" si="15"/>
        <v>0</v>
      </c>
      <c r="S82" s="362">
        <f t="shared" si="17"/>
        <v>0</v>
      </c>
    </row>
    <row r="83" spans="1:19">
      <c r="A83" s="160"/>
      <c r="B83" s="59"/>
      <c r="C83" s="24">
        <f t="shared" si="7"/>
        <v>1</v>
      </c>
      <c r="D83" s="720"/>
      <c r="E83" s="24">
        <f t="shared" si="8"/>
        <v>0.06</v>
      </c>
      <c r="F83" s="720"/>
      <c r="G83" s="24">
        <f t="shared" si="9"/>
        <v>1</v>
      </c>
      <c r="H83" s="720"/>
      <c r="I83" s="24">
        <f t="shared" si="10"/>
        <v>1</v>
      </c>
      <c r="J83" s="720"/>
      <c r="K83" s="24">
        <f t="shared" si="11"/>
        <v>1</v>
      </c>
      <c r="L83" s="720"/>
      <c r="M83" s="24">
        <f t="shared" si="12"/>
        <v>1</v>
      </c>
      <c r="N83" s="720"/>
      <c r="O83" s="24">
        <f t="shared" si="13"/>
        <v>1</v>
      </c>
      <c r="P83" s="720"/>
      <c r="Q83" s="24">
        <f t="shared" si="14"/>
        <v>1</v>
      </c>
      <c r="R83" s="717">
        <f t="shared" si="15"/>
        <v>0</v>
      </c>
      <c r="S83" s="362">
        <f t="shared" si="17"/>
        <v>0</v>
      </c>
    </row>
    <row r="84" spans="1:19">
      <c r="A84" s="160"/>
      <c r="B84" s="59"/>
      <c r="C84" s="24">
        <f t="shared" si="7"/>
        <v>1</v>
      </c>
      <c r="D84" s="720"/>
      <c r="E84" s="24">
        <f t="shared" si="8"/>
        <v>0.06</v>
      </c>
      <c r="F84" s="720"/>
      <c r="G84" s="24">
        <f t="shared" si="9"/>
        <v>1</v>
      </c>
      <c r="H84" s="720"/>
      <c r="I84" s="24">
        <f t="shared" si="10"/>
        <v>1</v>
      </c>
      <c r="J84" s="720"/>
      <c r="K84" s="24">
        <f t="shared" si="11"/>
        <v>1</v>
      </c>
      <c r="L84" s="720"/>
      <c r="M84" s="24">
        <f t="shared" si="12"/>
        <v>1</v>
      </c>
      <c r="N84" s="720"/>
      <c r="O84" s="24">
        <f t="shared" si="13"/>
        <v>1</v>
      </c>
      <c r="P84" s="720"/>
      <c r="Q84" s="24">
        <f t="shared" si="14"/>
        <v>1</v>
      </c>
      <c r="R84" s="717">
        <f t="shared" si="15"/>
        <v>0</v>
      </c>
      <c r="S84" s="362">
        <f t="shared" si="17"/>
        <v>0</v>
      </c>
    </row>
    <row r="85" spans="1:19">
      <c r="A85" s="160"/>
      <c r="B85" s="59"/>
      <c r="C85" s="24">
        <f t="shared" si="7"/>
        <v>1</v>
      </c>
      <c r="D85" s="720"/>
      <c r="E85" s="24">
        <f t="shared" si="8"/>
        <v>0.06</v>
      </c>
      <c r="F85" s="720"/>
      <c r="G85" s="24">
        <f t="shared" si="9"/>
        <v>1</v>
      </c>
      <c r="H85" s="720"/>
      <c r="I85" s="24">
        <f t="shared" si="10"/>
        <v>1</v>
      </c>
      <c r="J85" s="720"/>
      <c r="K85" s="24">
        <f t="shared" si="11"/>
        <v>1</v>
      </c>
      <c r="L85" s="720"/>
      <c r="M85" s="24">
        <f t="shared" si="12"/>
        <v>1</v>
      </c>
      <c r="N85" s="720"/>
      <c r="O85" s="24">
        <f t="shared" si="13"/>
        <v>1</v>
      </c>
      <c r="P85" s="720"/>
      <c r="Q85" s="24">
        <f t="shared" si="14"/>
        <v>1</v>
      </c>
      <c r="R85" s="717">
        <f t="shared" si="15"/>
        <v>0</v>
      </c>
      <c r="S85" s="362">
        <f t="shared" si="17"/>
        <v>0</v>
      </c>
    </row>
    <row r="86" spans="1:19">
      <c r="A86" s="160"/>
      <c r="B86" s="59"/>
      <c r="C86" s="24">
        <f t="shared" si="7"/>
        <v>1</v>
      </c>
      <c r="D86" s="720"/>
      <c r="E86" s="24">
        <f t="shared" si="8"/>
        <v>0.06</v>
      </c>
      <c r="F86" s="720"/>
      <c r="G86" s="24">
        <f t="shared" si="9"/>
        <v>1</v>
      </c>
      <c r="H86" s="720"/>
      <c r="I86" s="24">
        <f t="shared" si="10"/>
        <v>1</v>
      </c>
      <c r="J86" s="720"/>
      <c r="K86" s="24">
        <f t="shared" si="11"/>
        <v>1</v>
      </c>
      <c r="L86" s="720"/>
      <c r="M86" s="24">
        <f t="shared" si="12"/>
        <v>1</v>
      </c>
      <c r="N86" s="720"/>
      <c r="O86" s="24">
        <f t="shared" si="13"/>
        <v>1</v>
      </c>
      <c r="P86" s="720"/>
      <c r="Q86" s="24">
        <f t="shared" si="14"/>
        <v>1</v>
      </c>
      <c r="R86" s="717">
        <f t="shared" si="15"/>
        <v>0</v>
      </c>
      <c r="S86" s="362">
        <f t="shared" si="17"/>
        <v>0</v>
      </c>
    </row>
    <row r="87" spans="1:19">
      <c r="A87" s="160"/>
      <c r="B87" s="59"/>
      <c r="C87" s="24">
        <f t="shared" si="7"/>
        <v>1</v>
      </c>
      <c r="D87" s="720"/>
      <c r="E87" s="24">
        <f t="shared" si="8"/>
        <v>0.06</v>
      </c>
      <c r="F87" s="720"/>
      <c r="G87" s="24">
        <f t="shared" si="9"/>
        <v>1</v>
      </c>
      <c r="H87" s="720"/>
      <c r="I87" s="24">
        <f t="shared" si="10"/>
        <v>1</v>
      </c>
      <c r="J87" s="720"/>
      <c r="K87" s="24">
        <f t="shared" si="11"/>
        <v>1</v>
      </c>
      <c r="L87" s="720"/>
      <c r="M87" s="24">
        <f t="shared" si="12"/>
        <v>1</v>
      </c>
      <c r="N87" s="720"/>
      <c r="O87" s="24">
        <f t="shared" si="13"/>
        <v>1</v>
      </c>
      <c r="P87" s="720"/>
      <c r="Q87" s="24">
        <f t="shared" si="14"/>
        <v>1</v>
      </c>
      <c r="R87" s="717">
        <f t="shared" si="15"/>
        <v>0</v>
      </c>
      <c r="S87" s="362">
        <f t="shared" si="17"/>
        <v>0</v>
      </c>
    </row>
    <row r="88" spans="1:19">
      <c r="A88" s="160"/>
      <c r="B88" s="59"/>
      <c r="C88" s="24">
        <f t="shared" si="7"/>
        <v>1</v>
      </c>
      <c r="D88" s="720"/>
      <c r="E88" s="24">
        <f t="shared" si="8"/>
        <v>0.06</v>
      </c>
      <c r="F88" s="720"/>
      <c r="G88" s="24">
        <f t="shared" si="9"/>
        <v>1</v>
      </c>
      <c r="H88" s="720"/>
      <c r="I88" s="24">
        <f t="shared" si="10"/>
        <v>1</v>
      </c>
      <c r="J88" s="720"/>
      <c r="K88" s="24">
        <f t="shared" si="11"/>
        <v>1</v>
      </c>
      <c r="L88" s="720"/>
      <c r="M88" s="24">
        <f t="shared" si="12"/>
        <v>1</v>
      </c>
      <c r="N88" s="720"/>
      <c r="O88" s="24">
        <f t="shared" si="13"/>
        <v>1</v>
      </c>
      <c r="P88" s="720"/>
      <c r="Q88" s="24">
        <f t="shared" si="14"/>
        <v>1</v>
      </c>
      <c r="R88" s="717">
        <f t="shared" si="15"/>
        <v>0</v>
      </c>
      <c r="S88" s="362">
        <f t="shared" si="17"/>
        <v>0</v>
      </c>
    </row>
    <row r="89" spans="1:19">
      <c r="A89" s="160"/>
      <c r="B89" s="59"/>
      <c r="C89" s="24">
        <f t="shared" si="7"/>
        <v>1</v>
      </c>
      <c r="D89" s="720"/>
      <c r="E89" s="24">
        <f t="shared" si="8"/>
        <v>0.06</v>
      </c>
      <c r="F89" s="720"/>
      <c r="G89" s="24">
        <f t="shared" si="9"/>
        <v>1</v>
      </c>
      <c r="H89" s="720"/>
      <c r="I89" s="24">
        <f t="shared" si="10"/>
        <v>1</v>
      </c>
      <c r="J89" s="720"/>
      <c r="K89" s="24">
        <f t="shared" si="11"/>
        <v>1</v>
      </c>
      <c r="L89" s="720"/>
      <c r="M89" s="24">
        <f t="shared" si="12"/>
        <v>1</v>
      </c>
      <c r="N89" s="720"/>
      <c r="O89" s="24">
        <f t="shared" si="13"/>
        <v>1</v>
      </c>
      <c r="P89" s="720"/>
      <c r="Q89" s="24">
        <f t="shared" si="14"/>
        <v>1</v>
      </c>
      <c r="R89" s="717">
        <f t="shared" si="15"/>
        <v>0</v>
      </c>
      <c r="S89" s="362">
        <f t="shared" si="17"/>
        <v>0</v>
      </c>
    </row>
    <row r="90" spans="1:19">
      <c r="A90" s="160"/>
      <c r="B90" s="59"/>
      <c r="C90" s="24">
        <f t="shared" ref="C90:C153" si="18">IF(B90="",1,(LOOKUP(B90,$3:$3,$4:$4)-LOOKUP($B$24,$3:$3,$4:$4)+100)/100)</f>
        <v>1</v>
      </c>
      <c r="D90" s="720"/>
      <c r="E90" s="24">
        <f t="shared" ref="E90:E153" si="19">(SUMIF($5:$5,D90,$6:$6)-SUMIF($5:$5,$D$24,$6:$6)+100)/100</f>
        <v>0.06</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7">
        <f t="shared" ref="R90:R153" si="26">IF(B90="",0,ROUND($R$24*C90*E90*G90*I90*K90*M90*O90*Q90,0))</f>
        <v>0</v>
      </c>
      <c r="S90" s="362">
        <f t="shared" si="17"/>
        <v>0</v>
      </c>
    </row>
    <row r="91" spans="1:19">
      <c r="A91" s="160"/>
      <c r="B91" s="59"/>
      <c r="C91" s="24">
        <f t="shared" si="18"/>
        <v>1</v>
      </c>
      <c r="D91" s="720"/>
      <c r="E91" s="24">
        <f t="shared" si="19"/>
        <v>0.06</v>
      </c>
      <c r="F91" s="720"/>
      <c r="G91" s="24">
        <f t="shared" si="20"/>
        <v>1</v>
      </c>
      <c r="H91" s="720"/>
      <c r="I91" s="24">
        <f t="shared" si="21"/>
        <v>1</v>
      </c>
      <c r="J91" s="720"/>
      <c r="K91" s="24">
        <f t="shared" si="22"/>
        <v>1</v>
      </c>
      <c r="L91" s="720"/>
      <c r="M91" s="24">
        <f t="shared" si="23"/>
        <v>1</v>
      </c>
      <c r="N91" s="720"/>
      <c r="O91" s="24">
        <f t="shared" si="24"/>
        <v>1</v>
      </c>
      <c r="P91" s="720"/>
      <c r="Q91" s="24">
        <f t="shared" si="25"/>
        <v>1</v>
      </c>
      <c r="R91" s="717">
        <f t="shared" si="26"/>
        <v>0</v>
      </c>
      <c r="S91" s="362">
        <f t="shared" si="17"/>
        <v>0</v>
      </c>
    </row>
    <row r="92" spans="1:19">
      <c r="A92" s="160"/>
      <c r="B92" s="59"/>
      <c r="C92" s="24">
        <f t="shared" si="18"/>
        <v>1</v>
      </c>
      <c r="D92" s="720"/>
      <c r="E92" s="24">
        <f t="shared" si="19"/>
        <v>0.06</v>
      </c>
      <c r="F92" s="720"/>
      <c r="G92" s="24">
        <f t="shared" si="20"/>
        <v>1</v>
      </c>
      <c r="H92" s="720"/>
      <c r="I92" s="24">
        <f t="shared" si="21"/>
        <v>1</v>
      </c>
      <c r="J92" s="720"/>
      <c r="K92" s="24">
        <f t="shared" si="22"/>
        <v>1</v>
      </c>
      <c r="L92" s="720"/>
      <c r="M92" s="24">
        <f t="shared" si="23"/>
        <v>1</v>
      </c>
      <c r="N92" s="720"/>
      <c r="O92" s="24">
        <f t="shared" si="24"/>
        <v>1</v>
      </c>
      <c r="P92" s="720"/>
      <c r="Q92" s="24">
        <f t="shared" si="25"/>
        <v>1</v>
      </c>
      <c r="R92" s="717">
        <f t="shared" si="26"/>
        <v>0</v>
      </c>
      <c r="S92" s="362">
        <f t="shared" si="17"/>
        <v>0</v>
      </c>
    </row>
    <row r="93" spans="1:19">
      <c r="A93" s="160"/>
      <c r="B93" s="59"/>
      <c r="C93" s="24">
        <f t="shared" si="18"/>
        <v>1</v>
      </c>
      <c r="D93" s="720"/>
      <c r="E93" s="24">
        <f t="shared" si="19"/>
        <v>0.06</v>
      </c>
      <c r="F93" s="720"/>
      <c r="G93" s="24">
        <f t="shared" si="20"/>
        <v>1</v>
      </c>
      <c r="H93" s="720"/>
      <c r="I93" s="24">
        <f t="shared" si="21"/>
        <v>1</v>
      </c>
      <c r="J93" s="720"/>
      <c r="K93" s="24">
        <f t="shared" si="22"/>
        <v>1</v>
      </c>
      <c r="L93" s="720"/>
      <c r="M93" s="24">
        <f t="shared" si="23"/>
        <v>1</v>
      </c>
      <c r="N93" s="720"/>
      <c r="O93" s="24">
        <f t="shared" si="24"/>
        <v>1</v>
      </c>
      <c r="P93" s="720"/>
      <c r="Q93" s="24">
        <f t="shared" si="25"/>
        <v>1</v>
      </c>
      <c r="R93" s="717">
        <f t="shared" si="26"/>
        <v>0</v>
      </c>
      <c r="S93" s="362">
        <f t="shared" si="17"/>
        <v>0</v>
      </c>
    </row>
    <row r="94" spans="1:19">
      <c r="A94" s="160"/>
      <c r="B94" s="59"/>
      <c r="C94" s="24">
        <f t="shared" si="18"/>
        <v>1</v>
      </c>
      <c r="D94" s="720"/>
      <c r="E94" s="24">
        <f t="shared" si="19"/>
        <v>0.06</v>
      </c>
      <c r="F94" s="720"/>
      <c r="G94" s="24">
        <f t="shared" si="20"/>
        <v>1</v>
      </c>
      <c r="H94" s="720"/>
      <c r="I94" s="24">
        <f t="shared" si="21"/>
        <v>1</v>
      </c>
      <c r="J94" s="720"/>
      <c r="K94" s="24">
        <f t="shared" si="22"/>
        <v>1</v>
      </c>
      <c r="L94" s="720"/>
      <c r="M94" s="24">
        <f t="shared" si="23"/>
        <v>1</v>
      </c>
      <c r="N94" s="720"/>
      <c r="O94" s="24">
        <f t="shared" si="24"/>
        <v>1</v>
      </c>
      <c r="P94" s="720"/>
      <c r="Q94" s="24">
        <f t="shared" si="25"/>
        <v>1</v>
      </c>
      <c r="R94" s="717">
        <f t="shared" si="26"/>
        <v>0</v>
      </c>
      <c r="S94" s="362">
        <f t="shared" si="17"/>
        <v>0</v>
      </c>
    </row>
    <row r="95" spans="1:19">
      <c r="A95" s="160"/>
      <c r="B95" s="59"/>
      <c r="C95" s="24">
        <f t="shared" si="18"/>
        <v>1</v>
      </c>
      <c r="D95" s="720"/>
      <c r="E95" s="24">
        <f t="shared" si="19"/>
        <v>0.06</v>
      </c>
      <c r="F95" s="720"/>
      <c r="G95" s="24">
        <f t="shared" si="20"/>
        <v>1</v>
      </c>
      <c r="H95" s="720"/>
      <c r="I95" s="24">
        <f t="shared" si="21"/>
        <v>1</v>
      </c>
      <c r="J95" s="720"/>
      <c r="K95" s="24">
        <f t="shared" si="22"/>
        <v>1</v>
      </c>
      <c r="L95" s="720"/>
      <c r="M95" s="24">
        <f t="shared" si="23"/>
        <v>1</v>
      </c>
      <c r="N95" s="720"/>
      <c r="O95" s="24">
        <f t="shared" si="24"/>
        <v>1</v>
      </c>
      <c r="P95" s="720"/>
      <c r="Q95" s="24">
        <f t="shared" si="25"/>
        <v>1</v>
      </c>
      <c r="R95" s="717">
        <f t="shared" si="26"/>
        <v>0</v>
      </c>
      <c r="S95" s="362">
        <f t="shared" si="17"/>
        <v>0</v>
      </c>
    </row>
    <row r="96" spans="1:19">
      <c r="A96" s="160"/>
      <c r="B96" s="59"/>
      <c r="C96" s="24">
        <f t="shared" si="18"/>
        <v>1</v>
      </c>
      <c r="D96" s="720"/>
      <c r="E96" s="24">
        <f t="shared" si="19"/>
        <v>0.06</v>
      </c>
      <c r="F96" s="720"/>
      <c r="G96" s="24">
        <f t="shared" si="20"/>
        <v>1</v>
      </c>
      <c r="H96" s="720"/>
      <c r="I96" s="24">
        <f t="shared" si="21"/>
        <v>1</v>
      </c>
      <c r="J96" s="720"/>
      <c r="K96" s="24">
        <f t="shared" si="22"/>
        <v>1</v>
      </c>
      <c r="L96" s="720"/>
      <c r="M96" s="24">
        <f t="shared" si="23"/>
        <v>1</v>
      </c>
      <c r="N96" s="720"/>
      <c r="O96" s="24">
        <f t="shared" si="24"/>
        <v>1</v>
      </c>
      <c r="P96" s="720"/>
      <c r="Q96" s="24">
        <f t="shared" si="25"/>
        <v>1</v>
      </c>
      <c r="R96" s="717">
        <f t="shared" si="26"/>
        <v>0</v>
      </c>
      <c r="S96" s="362">
        <f t="shared" si="17"/>
        <v>0</v>
      </c>
    </row>
    <row r="97" spans="1:19">
      <c r="A97" s="160"/>
      <c r="B97" s="59"/>
      <c r="C97" s="24">
        <f t="shared" si="18"/>
        <v>1</v>
      </c>
      <c r="D97" s="720"/>
      <c r="E97" s="24">
        <f t="shared" si="19"/>
        <v>0.06</v>
      </c>
      <c r="F97" s="720"/>
      <c r="G97" s="24">
        <f t="shared" si="20"/>
        <v>1</v>
      </c>
      <c r="H97" s="720"/>
      <c r="I97" s="24">
        <f t="shared" si="21"/>
        <v>1</v>
      </c>
      <c r="J97" s="720"/>
      <c r="K97" s="24">
        <f t="shared" si="22"/>
        <v>1</v>
      </c>
      <c r="L97" s="720"/>
      <c r="M97" s="24">
        <f t="shared" si="23"/>
        <v>1</v>
      </c>
      <c r="N97" s="720"/>
      <c r="O97" s="24">
        <f t="shared" si="24"/>
        <v>1</v>
      </c>
      <c r="P97" s="720"/>
      <c r="Q97" s="24">
        <f t="shared" si="25"/>
        <v>1</v>
      </c>
      <c r="R97" s="717">
        <f t="shared" si="26"/>
        <v>0</v>
      </c>
      <c r="S97" s="362">
        <f t="shared" si="17"/>
        <v>0</v>
      </c>
    </row>
    <row r="98" spans="1:19">
      <c r="A98" s="160"/>
      <c r="B98" s="59"/>
      <c r="C98" s="24">
        <f t="shared" si="18"/>
        <v>1</v>
      </c>
      <c r="D98" s="720"/>
      <c r="E98" s="24">
        <f t="shared" si="19"/>
        <v>0.06</v>
      </c>
      <c r="F98" s="720"/>
      <c r="G98" s="24">
        <f t="shared" si="20"/>
        <v>1</v>
      </c>
      <c r="H98" s="720"/>
      <c r="I98" s="24">
        <f t="shared" si="21"/>
        <v>1</v>
      </c>
      <c r="J98" s="720"/>
      <c r="K98" s="24">
        <f t="shared" si="22"/>
        <v>1</v>
      </c>
      <c r="L98" s="720"/>
      <c r="M98" s="24">
        <f t="shared" si="23"/>
        <v>1</v>
      </c>
      <c r="N98" s="720"/>
      <c r="O98" s="24">
        <f t="shared" si="24"/>
        <v>1</v>
      </c>
      <c r="P98" s="720"/>
      <c r="Q98" s="24">
        <f t="shared" si="25"/>
        <v>1</v>
      </c>
      <c r="R98" s="717">
        <f t="shared" si="26"/>
        <v>0</v>
      </c>
      <c r="S98" s="362">
        <f t="shared" si="17"/>
        <v>0</v>
      </c>
    </row>
    <row r="99" spans="1:19">
      <c r="A99" s="160"/>
      <c r="B99" s="59"/>
      <c r="C99" s="24">
        <f t="shared" si="18"/>
        <v>1</v>
      </c>
      <c r="D99" s="720"/>
      <c r="E99" s="24">
        <f t="shared" si="19"/>
        <v>0.06</v>
      </c>
      <c r="F99" s="720"/>
      <c r="G99" s="24">
        <f t="shared" si="20"/>
        <v>1</v>
      </c>
      <c r="H99" s="720"/>
      <c r="I99" s="24">
        <f t="shared" si="21"/>
        <v>1</v>
      </c>
      <c r="J99" s="720"/>
      <c r="K99" s="24">
        <f t="shared" si="22"/>
        <v>1</v>
      </c>
      <c r="L99" s="720"/>
      <c r="M99" s="24">
        <f t="shared" si="23"/>
        <v>1</v>
      </c>
      <c r="N99" s="720"/>
      <c r="O99" s="24">
        <f t="shared" si="24"/>
        <v>1</v>
      </c>
      <c r="P99" s="720"/>
      <c r="Q99" s="24">
        <f t="shared" si="25"/>
        <v>1</v>
      </c>
      <c r="R99" s="717">
        <f t="shared" si="26"/>
        <v>0</v>
      </c>
      <c r="S99" s="362">
        <f t="shared" si="17"/>
        <v>0</v>
      </c>
    </row>
    <row r="100" spans="1:19">
      <c r="A100" s="160"/>
      <c r="B100" s="59"/>
      <c r="C100" s="24">
        <f t="shared" si="18"/>
        <v>1</v>
      </c>
      <c r="D100" s="720"/>
      <c r="E100" s="24">
        <f t="shared" si="19"/>
        <v>0.06</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7">
        <f t="shared" si="26"/>
        <v>0</v>
      </c>
      <c r="S100" s="362">
        <f t="shared" si="17"/>
        <v>0</v>
      </c>
    </row>
    <row r="101" spans="1:19">
      <c r="A101" s="160"/>
      <c r="B101" s="59"/>
      <c r="C101" s="24">
        <f t="shared" si="18"/>
        <v>1</v>
      </c>
      <c r="D101" s="720"/>
      <c r="E101" s="24">
        <f t="shared" si="19"/>
        <v>0.06</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7">
        <f t="shared" si="26"/>
        <v>0</v>
      </c>
      <c r="S101" s="362">
        <f t="shared" si="17"/>
        <v>0</v>
      </c>
    </row>
    <row r="102" spans="1:19">
      <c r="A102" s="160"/>
      <c r="B102" s="59"/>
      <c r="C102" s="24">
        <f t="shared" si="18"/>
        <v>1</v>
      </c>
      <c r="D102" s="720"/>
      <c r="E102" s="24">
        <f t="shared" si="19"/>
        <v>0.06</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7">
        <f t="shared" si="26"/>
        <v>0</v>
      </c>
      <c r="S102" s="362">
        <f t="shared" si="17"/>
        <v>0</v>
      </c>
    </row>
    <row r="103" spans="1:19">
      <c r="A103" s="160"/>
      <c r="B103" s="59"/>
      <c r="C103" s="24">
        <f t="shared" si="18"/>
        <v>1</v>
      </c>
      <c r="D103" s="720"/>
      <c r="E103" s="24">
        <f t="shared" si="19"/>
        <v>0.06</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7">
        <f t="shared" si="26"/>
        <v>0</v>
      </c>
      <c r="S103" s="362">
        <f t="shared" si="17"/>
        <v>0</v>
      </c>
    </row>
    <row r="104" spans="1:19">
      <c r="A104" s="160"/>
      <c r="B104" s="59"/>
      <c r="C104" s="24">
        <f t="shared" si="18"/>
        <v>1</v>
      </c>
      <c r="D104" s="720"/>
      <c r="E104" s="24">
        <f t="shared" si="19"/>
        <v>0.06</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7">
        <f t="shared" si="26"/>
        <v>0</v>
      </c>
      <c r="S104" s="362">
        <f t="shared" si="17"/>
        <v>0</v>
      </c>
    </row>
    <row r="105" spans="1:19">
      <c r="A105" s="160"/>
      <c r="B105" s="59"/>
      <c r="C105" s="24">
        <f t="shared" si="18"/>
        <v>1</v>
      </c>
      <c r="D105" s="720"/>
      <c r="E105" s="24">
        <f t="shared" si="19"/>
        <v>0.06</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7">
        <f t="shared" si="26"/>
        <v>0</v>
      </c>
      <c r="S105" s="362">
        <f t="shared" si="17"/>
        <v>0</v>
      </c>
    </row>
    <row r="106" spans="1:19">
      <c r="A106" s="160"/>
      <c r="B106" s="59"/>
      <c r="C106" s="24">
        <f t="shared" si="18"/>
        <v>1</v>
      </c>
      <c r="D106" s="720"/>
      <c r="E106" s="24">
        <f t="shared" si="19"/>
        <v>0.06</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7">
        <f t="shared" si="26"/>
        <v>0</v>
      </c>
      <c r="S106" s="362">
        <f t="shared" si="17"/>
        <v>0</v>
      </c>
    </row>
    <row r="107" spans="1:19">
      <c r="A107" s="160"/>
      <c r="B107" s="59"/>
      <c r="C107" s="24">
        <f t="shared" si="18"/>
        <v>1</v>
      </c>
      <c r="D107" s="720"/>
      <c r="E107" s="24">
        <f t="shared" si="19"/>
        <v>0.06</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7">
        <f t="shared" si="26"/>
        <v>0</v>
      </c>
      <c r="S107" s="362">
        <f t="shared" si="17"/>
        <v>0</v>
      </c>
    </row>
    <row r="108" spans="1:19">
      <c r="A108" s="160"/>
      <c r="B108" s="59"/>
      <c r="C108" s="24">
        <f t="shared" si="18"/>
        <v>1</v>
      </c>
      <c r="D108" s="720"/>
      <c r="E108" s="24">
        <f t="shared" si="19"/>
        <v>0.06</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7">
        <f t="shared" si="26"/>
        <v>0</v>
      </c>
      <c r="S108" s="362">
        <f t="shared" si="17"/>
        <v>0</v>
      </c>
    </row>
    <row r="109" spans="1:19">
      <c r="A109" s="160"/>
      <c r="B109" s="59"/>
      <c r="C109" s="24">
        <f t="shared" si="18"/>
        <v>1</v>
      </c>
      <c r="D109" s="720"/>
      <c r="E109" s="24">
        <f t="shared" si="19"/>
        <v>0.06</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7">
        <f t="shared" si="26"/>
        <v>0</v>
      </c>
      <c r="S109" s="362">
        <f t="shared" si="17"/>
        <v>0</v>
      </c>
    </row>
    <row r="110" spans="1:19">
      <c r="A110" s="160"/>
      <c r="B110" s="59"/>
      <c r="C110" s="24">
        <f t="shared" si="18"/>
        <v>1</v>
      </c>
      <c r="D110" s="720"/>
      <c r="E110" s="24">
        <f t="shared" si="19"/>
        <v>0.06</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7">
        <f t="shared" si="26"/>
        <v>0</v>
      </c>
      <c r="S110" s="362">
        <f t="shared" si="17"/>
        <v>0</v>
      </c>
    </row>
    <row r="111" spans="1:19">
      <c r="A111" s="160"/>
      <c r="B111" s="59"/>
      <c r="C111" s="24">
        <f t="shared" si="18"/>
        <v>1</v>
      </c>
      <c r="D111" s="720"/>
      <c r="E111" s="24">
        <f t="shared" si="19"/>
        <v>0.06</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7">
        <f t="shared" si="26"/>
        <v>0</v>
      </c>
      <c r="S111" s="362">
        <f t="shared" si="17"/>
        <v>0</v>
      </c>
    </row>
    <row r="112" spans="1:19">
      <c r="A112" s="160"/>
      <c r="B112" s="59"/>
      <c r="C112" s="24">
        <f t="shared" si="18"/>
        <v>1</v>
      </c>
      <c r="D112" s="720"/>
      <c r="E112" s="24">
        <f t="shared" si="19"/>
        <v>0.06</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7">
        <f t="shared" si="26"/>
        <v>0</v>
      </c>
      <c r="S112" s="362">
        <f t="shared" si="17"/>
        <v>0</v>
      </c>
    </row>
    <row r="113" spans="1:19">
      <c r="A113" s="160"/>
      <c r="B113" s="59"/>
      <c r="C113" s="24">
        <f t="shared" si="18"/>
        <v>1</v>
      </c>
      <c r="D113" s="720"/>
      <c r="E113" s="24">
        <f t="shared" si="19"/>
        <v>0.06</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7">
        <f t="shared" si="26"/>
        <v>0</v>
      </c>
      <c r="S113" s="362">
        <f t="shared" si="17"/>
        <v>0</v>
      </c>
    </row>
    <row r="114" spans="1:19">
      <c r="A114" s="160"/>
      <c r="B114" s="59"/>
      <c r="C114" s="24">
        <f t="shared" si="18"/>
        <v>1</v>
      </c>
      <c r="D114" s="720"/>
      <c r="E114" s="24">
        <f t="shared" si="19"/>
        <v>0.06</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7">
        <f t="shared" si="26"/>
        <v>0</v>
      </c>
      <c r="S114" s="362">
        <f t="shared" si="17"/>
        <v>0</v>
      </c>
    </row>
    <row r="115" spans="1:19">
      <c r="A115" s="160"/>
      <c r="B115" s="59"/>
      <c r="C115" s="24">
        <f t="shared" si="18"/>
        <v>1</v>
      </c>
      <c r="D115" s="720"/>
      <c r="E115" s="24">
        <f t="shared" si="19"/>
        <v>0.06</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7">
        <f t="shared" si="26"/>
        <v>0</v>
      </c>
      <c r="S115" s="362">
        <f t="shared" si="17"/>
        <v>0</v>
      </c>
    </row>
    <row r="116" spans="1:19">
      <c r="A116" s="160"/>
      <c r="B116" s="59"/>
      <c r="C116" s="24">
        <f t="shared" si="18"/>
        <v>1</v>
      </c>
      <c r="D116" s="720"/>
      <c r="E116" s="24">
        <f t="shared" si="19"/>
        <v>0.06</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7">
        <f t="shared" si="26"/>
        <v>0</v>
      </c>
      <c r="S116" s="362">
        <f t="shared" si="17"/>
        <v>0</v>
      </c>
    </row>
    <row r="117" spans="1:19">
      <c r="A117" s="160"/>
      <c r="B117" s="59"/>
      <c r="C117" s="24">
        <f t="shared" si="18"/>
        <v>1</v>
      </c>
      <c r="D117" s="720"/>
      <c r="E117" s="24">
        <f t="shared" si="19"/>
        <v>0.06</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7">
        <f t="shared" si="26"/>
        <v>0</v>
      </c>
      <c r="S117" s="362">
        <f t="shared" si="17"/>
        <v>0</v>
      </c>
    </row>
    <row r="118" spans="1:19">
      <c r="A118" s="160"/>
      <c r="B118" s="59"/>
      <c r="C118" s="24">
        <f t="shared" si="18"/>
        <v>1</v>
      </c>
      <c r="D118" s="720"/>
      <c r="E118" s="24">
        <f t="shared" si="19"/>
        <v>0.06</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7">
        <f t="shared" si="26"/>
        <v>0</v>
      </c>
      <c r="S118" s="362">
        <f t="shared" si="17"/>
        <v>0</v>
      </c>
    </row>
    <row r="119" spans="1:19">
      <c r="A119" s="160"/>
      <c r="B119" s="59"/>
      <c r="C119" s="24">
        <f t="shared" si="18"/>
        <v>1</v>
      </c>
      <c r="D119" s="720"/>
      <c r="E119" s="24">
        <f t="shared" si="19"/>
        <v>0.06</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7">
        <f t="shared" si="26"/>
        <v>0</v>
      </c>
      <c r="S119" s="362">
        <f t="shared" si="17"/>
        <v>0</v>
      </c>
    </row>
    <row r="120" spans="1:19">
      <c r="A120" s="160"/>
      <c r="B120" s="59"/>
      <c r="C120" s="24">
        <f t="shared" si="18"/>
        <v>1</v>
      </c>
      <c r="D120" s="720"/>
      <c r="E120" s="24">
        <f t="shared" si="19"/>
        <v>0.06</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7">
        <f t="shared" si="26"/>
        <v>0</v>
      </c>
      <c r="S120" s="362">
        <f t="shared" si="17"/>
        <v>0</v>
      </c>
    </row>
    <row r="121" spans="1:19">
      <c r="A121" s="160"/>
      <c r="B121" s="59"/>
      <c r="C121" s="24">
        <f t="shared" si="18"/>
        <v>1</v>
      </c>
      <c r="D121" s="720"/>
      <c r="E121" s="24">
        <f t="shared" si="19"/>
        <v>0.06</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7">
        <f t="shared" si="26"/>
        <v>0</v>
      </c>
      <c r="S121" s="362">
        <f t="shared" si="17"/>
        <v>0</v>
      </c>
    </row>
    <row r="122" spans="1:19">
      <c r="A122" s="160"/>
      <c r="B122" s="59"/>
      <c r="C122" s="24">
        <f t="shared" si="18"/>
        <v>1</v>
      </c>
      <c r="D122" s="720"/>
      <c r="E122" s="24">
        <f t="shared" si="19"/>
        <v>0.06</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7">
        <f t="shared" si="26"/>
        <v>0</v>
      </c>
      <c r="S122" s="362">
        <f t="shared" si="17"/>
        <v>0</v>
      </c>
    </row>
    <row r="123" spans="1:19">
      <c r="A123" s="160"/>
      <c r="B123" s="59"/>
      <c r="C123" s="24">
        <f t="shared" si="18"/>
        <v>1</v>
      </c>
      <c r="D123" s="720"/>
      <c r="E123" s="24">
        <f t="shared" si="19"/>
        <v>0.06</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7">
        <f t="shared" si="26"/>
        <v>0</v>
      </c>
      <c r="S123" s="362">
        <f t="shared" ref="S123:S186" si="27">ROUND(R123*B123/10000,0)</f>
        <v>0</v>
      </c>
    </row>
    <row r="124" spans="1:19">
      <c r="A124" s="160"/>
      <c r="B124" s="59"/>
      <c r="C124" s="24">
        <f t="shared" si="18"/>
        <v>1</v>
      </c>
      <c r="D124" s="720"/>
      <c r="E124" s="24">
        <f t="shared" si="19"/>
        <v>0.06</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7">
        <f t="shared" si="26"/>
        <v>0</v>
      </c>
      <c r="S124" s="362">
        <f t="shared" si="27"/>
        <v>0</v>
      </c>
    </row>
    <row r="125" spans="1:19">
      <c r="A125" s="160"/>
      <c r="B125" s="59"/>
      <c r="C125" s="24">
        <f t="shared" si="18"/>
        <v>1</v>
      </c>
      <c r="D125" s="720"/>
      <c r="E125" s="24">
        <f t="shared" si="19"/>
        <v>0.06</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7">
        <f t="shared" si="26"/>
        <v>0</v>
      </c>
      <c r="S125" s="362">
        <f t="shared" si="27"/>
        <v>0</v>
      </c>
    </row>
    <row r="126" spans="1:19">
      <c r="A126" s="160"/>
      <c r="B126" s="59"/>
      <c r="C126" s="24">
        <f t="shared" si="18"/>
        <v>1</v>
      </c>
      <c r="D126" s="720"/>
      <c r="E126" s="24">
        <f t="shared" si="19"/>
        <v>0.06</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7">
        <f t="shared" si="26"/>
        <v>0</v>
      </c>
      <c r="S126" s="362">
        <f t="shared" si="27"/>
        <v>0</v>
      </c>
    </row>
    <row r="127" spans="1:19">
      <c r="A127" s="160"/>
      <c r="B127" s="59"/>
      <c r="C127" s="24">
        <f t="shared" si="18"/>
        <v>1</v>
      </c>
      <c r="D127" s="720"/>
      <c r="E127" s="24">
        <f t="shared" si="19"/>
        <v>0.06</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7">
        <f t="shared" si="26"/>
        <v>0</v>
      </c>
      <c r="S127" s="362">
        <f t="shared" si="27"/>
        <v>0</v>
      </c>
    </row>
    <row r="128" spans="1:19">
      <c r="A128" s="160"/>
      <c r="B128" s="59"/>
      <c r="C128" s="24">
        <f t="shared" si="18"/>
        <v>1</v>
      </c>
      <c r="D128" s="720"/>
      <c r="E128" s="24">
        <f t="shared" si="19"/>
        <v>0.06</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7">
        <f t="shared" si="26"/>
        <v>0</v>
      </c>
      <c r="S128" s="362">
        <f t="shared" si="27"/>
        <v>0</v>
      </c>
    </row>
    <row r="129" spans="1:19">
      <c r="A129" s="160"/>
      <c r="B129" s="59"/>
      <c r="C129" s="24">
        <f t="shared" si="18"/>
        <v>1</v>
      </c>
      <c r="D129" s="720"/>
      <c r="E129" s="24">
        <f t="shared" si="19"/>
        <v>0.06</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7">
        <f t="shared" si="26"/>
        <v>0</v>
      </c>
      <c r="S129" s="362">
        <f t="shared" si="27"/>
        <v>0</v>
      </c>
    </row>
    <row r="130" spans="1:19">
      <c r="A130" s="160"/>
      <c r="B130" s="59"/>
      <c r="C130" s="24">
        <f t="shared" si="18"/>
        <v>1</v>
      </c>
      <c r="D130" s="720"/>
      <c r="E130" s="24">
        <f t="shared" si="19"/>
        <v>0.06</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7">
        <f t="shared" si="26"/>
        <v>0</v>
      </c>
      <c r="S130" s="362">
        <f t="shared" si="27"/>
        <v>0</v>
      </c>
    </row>
    <row r="131" spans="1:19">
      <c r="A131" s="160"/>
      <c r="B131" s="59"/>
      <c r="C131" s="24">
        <f t="shared" si="18"/>
        <v>1</v>
      </c>
      <c r="D131" s="720"/>
      <c r="E131" s="24">
        <f t="shared" si="19"/>
        <v>0.06</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7">
        <f t="shared" si="26"/>
        <v>0</v>
      </c>
      <c r="S131" s="362">
        <f t="shared" si="27"/>
        <v>0</v>
      </c>
    </row>
    <row r="132" spans="1:19">
      <c r="A132" s="160"/>
      <c r="B132" s="59"/>
      <c r="C132" s="24">
        <f t="shared" si="18"/>
        <v>1</v>
      </c>
      <c r="D132" s="720"/>
      <c r="E132" s="24">
        <f t="shared" si="19"/>
        <v>0.06</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7">
        <f t="shared" si="26"/>
        <v>0</v>
      </c>
      <c r="S132" s="362">
        <f t="shared" si="27"/>
        <v>0</v>
      </c>
    </row>
    <row r="133" spans="1:19">
      <c r="A133" s="160"/>
      <c r="B133" s="59"/>
      <c r="C133" s="24">
        <f t="shared" si="18"/>
        <v>1</v>
      </c>
      <c r="D133" s="720"/>
      <c r="E133" s="24">
        <f t="shared" si="19"/>
        <v>0.06</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7">
        <f t="shared" si="26"/>
        <v>0</v>
      </c>
      <c r="S133" s="362">
        <f t="shared" si="27"/>
        <v>0</v>
      </c>
    </row>
    <row r="134" spans="1:19">
      <c r="A134" s="160"/>
      <c r="B134" s="59"/>
      <c r="C134" s="24">
        <f t="shared" si="18"/>
        <v>1</v>
      </c>
      <c r="D134" s="720"/>
      <c r="E134" s="24">
        <f t="shared" si="19"/>
        <v>0.06</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7">
        <f t="shared" si="26"/>
        <v>0</v>
      </c>
      <c r="S134" s="362">
        <f t="shared" si="27"/>
        <v>0</v>
      </c>
    </row>
    <row r="135" spans="1:19">
      <c r="A135" s="160"/>
      <c r="B135" s="59"/>
      <c r="C135" s="24">
        <f t="shared" si="18"/>
        <v>1</v>
      </c>
      <c r="D135" s="720"/>
      <c r="E135" s="24">
        <f t="shared" si="19"/>
        <v>0.06</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7">
        <f t="shared" si="26"/>
        <v>0</v>
      </c>
      <c r="S135" s="362">
        <f t="shared" si="27"/>
        <v>0</v>
      </c>
    </row>
    <row r="136" spans="1:19">
      <c r="A136" s="160"/>
      <c r="B136" s="59"/>
      <c r="C136" s="24">
        <f t="shared" si="18"/>
        <v>1</v>
      </c>
      <c r="D136" s="720"/>
      <c r="E136" s="24">
        <f t="shared" si="19"/>
        <v>0.06</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7">
        <f t="shared" si="26"/>
        <v>0</v>
      </c>
      <c r="S136" s="362">
        <f t="shared" si="27"/>
        <v>0</v>
      </c>
    </row>
    <row r="137" spans="1:19">
      <c r="A137" s="160"/>
      <c r="B137" s="59"/>
      <c r="C137" s="24">
        <f t="shared" si="18"/>
        <v>1</v>
      </c>
      <c r="D137" s="720"/>
      <c r="E137" s="24">
        <f t="shared" si="19"/>
        <v>0.06</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7">
        <f t="shared" si="26"/>
        <v>0</v>
      </c>
      <c r="S137" s="362">
        <f t="shared" si="27"/>
        <v>0</v>
      </c>
    </row>
    <row r="138" spans="1:19">
      <c r="A138" s="160"/>
      <c r="B138" s="59"/>
      <c r="C138" s="24">
        <f t="shared" si="18"/>
        <v>1</v>
      </c>
      <c r="D138" s="720"/>
      <c r="E138" s="24">
        <f t="shared" si="19"/>
        <v>0.06</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7">
        <f t="shared" si="26"/>
        <v>0</v>
      </c>
      <c r="S138" s="362">
        <f t="shared" si="27"/>
        <v>0</v>
      </c>
    </row>
    <row r="139" spans="1:19">
      <c r="A139" s="160"/>
      <c r="B139" s="59"/>
      <c r="C139" s="24">
        <f t="shared" si="18"/>
        <v>1</v>
      </c>
      <c r="D139" s="720"/>
      <c r="E139" s="24">
        <f t="shared" si="19"/>
        <v>0.06</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7">
        <f t="shared" si="26"/>
        <v>0</v>
      </c>
      <c r="S139" s="362">
        <f t="shared" si="27"/>
        <v>0</v>
      </c>
    </row>
    <row r="140" spans="1:19">
      <c r="A140" s="160"/>
      <c r="B140" s="59"/>
      <c r="C140" s="24">
        <f t="shared" si="18"/>
        <v>1</v>
      </c>
      <c r="D140" s="720"/>
      <c r="E140" s="24">
        <f t="shared" si="19"/>
        <v>0.06</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7">
        <f t="shared" si="26"/>
        <v>0</v>
      </c>
      <c r="S140" s="362">
        <f t="shared" si="27"/>
        <v>0</v>
      </c>
    </row>
    <row r="141" spans="1:19">
      <c r="A141" s="160"/>
      <c r="B141" s="59"/>
      <c r="C141" s="24">
        <f t="shared" si="18"/>
        <v>1</v>
      </c>
      <c r="D141" s="720"/>
      <c r="E141" s="24">
        <f t="shared" si="19"/>
        <v>0.06</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7">
        <f t="shared" si="26"/>
        <v>0</v>
      </c>
      <c r="S141" s="362">
        <f t="shared" si="27"/>
        <v>0</v>
      </c>
    </row>
    <row r="142" spans="1:19">
      <c r="A142" s="160"/>
      <c r="B142" s="59"/>
      <c r="C142" s="24">
        <f t="shared" si="18"/>
        <v>1</v>
      </c>
      <c r="D142" s="720"/>
      <c r="E142" s="24">
        <f t="shared" si="19"/>
        <v>0.06</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7">
        <f t="shared" si="26"/>
        <v>0</v>
      </c>
      <c r="S142" s="362">
        <f t="shared" si="27"/>
        <v>0</v>
      </c>
    </row>
    <row r="143" spans="1:19">
      <c r="A143" s="160"/>
      <c r="B143" s="59"/>
      <c r="C143" s="24">
        <f t="shared" si="18"/>
        <v>1</v>
      </c>
      <c r="D143" s="720"/>
      <c r="E143" s="24">
        <f t="shared" si="19"/>
        <v>0.06</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7">
        <f t="shared" si="26"/>
        <v>0</v>
      </c>
      <c r="S143" s="362">
        <f t="shared" si="27"/>
        <v>0</v>
      </c>
    </row>
    <row r="144" spans="1:19">
      <c r="A144" s="160"/>
      <c r="B144" s="59"/>
      <c r="C144" s="24">
        <f t="shared" si="18"/>
        <v>1</v>
      </c>
      <c r="D144" s="720"/>
      <c r="E144" s="24">
        <f t="shared" si="19"/>
        <v>0.06</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7">
        <f t="shared" si="26"/>
        <v>0</v>
      </c>
      <c r="S144" s="362">
        <f t="shared" si="27"/>
        <v>0</v>
      </c>
    </row>
    <row r="145" spans="1:19">
      <c r="A145" s="160"/>
      <c r="B145" s="59"/>
      <c r="C145" s="24">
        <f t="shared" si="18"/>
        <v>1</v>
      </c>
      <c r="D145" s="720"/>
      <c r="E145" s="24">
        <f t="shared" si="19"/>
        <v>0.06</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7">
        <f t="shared" si="26"/>
        <v>0</v>
      </c>
      <c r="S145" s="362">
        <f t="shared" si="27"/>
        <v>0</v>
      </c>
    </row>
    <row r="146" spans="1:19">
      <c r="A146" s="160"/>
      <c r="B146" s="59"/>
      <c r="C146" s="24">
        <f t="shared" si="18"/>
        <v>1</v>
      </c>
      <c r="D146" s="720"/>
      <c r="E146" s="24">
        <f t="shared" si="19"/>
        <v>0.06</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7">
        <f t="shared" si="26"/>
        <v>0</v>
      </c>
      <c r="S146" s="362">
        <f t="shared" si="27"/>
        <v>0</v>
      </c>
    </row>
    <row r="147" spans="1:19">
      <c r="A147" s="160"/>
      <c r="B147" s="59"/>
      <c r="C147" s="24">
        <f t="shared" si="18"/>
        <v>1</v>
      </c>
      <c r="D147" s="720"/>
      <c r="E147" s="24">
        <f t="shared" si="19"/>
        <v>0.06</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7">
        <f t="shared" si="26"/>
        <v>0</v>
      </c>
      <c r="S147" s="362">
        <f t="shared" si="27"/>
        <v>0</v>
      </c>
    </row>
    <row r="148" spans="1:19">
      <c r="A148" s="160"/>
      <c r="B148" s="59"/>
      <c r="C148" s="24">
        <f t="shared" si="18"/>
        <v>1</v>
      </c>
      <c r="D148" s="720"/>
      <c r="E148" s="24">
        <f t="shared" si="19"/>
        <v>0.06</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7">
        <f t="shared" si="26"/>
        <v>0</v>
      </c>
      <c r="S148" s="362">
        <f t="shared" si="27"/>
        <v>0</v>
      </c>
    </row>
    <row r="149" spans="1:19">
      <c r="A149" s="160"/>
      <c r="B149" s="59"/>
      <c r="C149" s="24">
        <f t="shared" si="18"/>
        <v>1</v>
      </c>
      <c r="D149" s="720"/>
      <c r="E149" s="24">
        <f t="shared" si="19"/>
        <v>0.06</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7">
        <f t="shared" si="26"/>
        <v>0</v>
      </c>
      <c r="S149" s="362">
        <f t="shared" si="27"/>
        <v>0</v>
      </c>
    </row>
    <row r="150" spans="1:19">
      <c r="A150" s="160"/>
      <c r="B150" s="59"/>
      <c r="C150" s="24">
        <f t="shared" si="18"/>
        <v>1</v>
      </c>
      <c r="D150" s="720"/>
      <c r="E150" s="24">
        <f t="shared" si="19"/>
        <v>0.06</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7">
        <f t="shared" si="26"/>
        <v>0</v>
      </c>
      <c r="S150" s="362">
        <f t="shared" si="27"/>
        <v>0</v>
      </c>
    </row>
    <row r="151" spans="1:19">
      <c r="A151" s="160"/>
      <c r="B151" s="59"/>
      <c r="C151" s="24">
        <f t="shared" si="18"/>
        <v>1</v>
      </c>
      <c r="D151" s="720"/>
      <c r="E151" s="24">
        <f t="shared" si="19"/>
        <v>0.06</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7">
        <f t="shared" si="26"/>
        <v>0</v>
      </c>
      <c r="S151" s="362">
        <f t="shared" si="27"/>
        <v>0</v>
      </c>
    </row>
    <row r="152" spans="1:19">
      <c r="A152" s="160"/>
      <c r="B152" s="59"/>
      <c r="C152" s="24">
        <f t="shared" si="18"/>
        <v>1</v>
      </c>
      <c r="D152" s="720"/>
      <c r="E152" s="24">
        <f t="shared" si="19"/>
        <v>0.06</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7">
        <f t="shared" si="26"/>
        <v>0</v>
      </c>
      <c r="S152" s="362">
        <f t="shared" si="27"/>
        <v>0</v>
      </c>
    </row>
    <row r="153" spans="1:19">
      <c r="A153" s="160"/>
      <c r="B153" s="59"/>
      <c r="C153" s="24">
        <f t="shared" si="18"/>
        <v>1</v>
      </c>
      <c r="D153" s="720"/>
      <c r="E153" s="24">
        <f t="shared" si="19"/>
        <v>0.06</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7">
        <f t="shared" si="26"/>
        <v>0</v>
      </c>
      <c r="S153" s="362">
        <f t="shared" si="27"/>
        <v>0</v>
      </c>
    </row>
    <row r="154" spans="1:19">
      <c r="A154" s="160"/>
      <c r="B154" s="59"/>
      <c r="C154" s="24">
        <f t="shared" ref="C154:C217" si="28">IF(B154="",1,(LOOKUP(B154,$3:$3,$4:$4)-LOOKUP($B$24,$3:$3,$4:$4)+100)/100)</f>
        <v>1</v>
      </c>
      <c r="D154" s="720"/>
      <c r="E154" s="24">
        <f t="shared" ref="E154:E217" si="29">(SUMIF($5:$5,D154,$6:$6)-SUMIF($5:$5,$D$24,$6:$6)+100)/100</f>
        <v>0.06</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7">
        <f t="shared" ref="R154:R217" si="36">IF(B154="",0,ROUND($R$24*C154*E154*G154*I154*K154*M154*O154*Q154,0))</f>
        <v>0</v>
      </c>
      <c r="S154" s="362">
        <f t="shared" si="27"/>
        <v>0</v>
      </c>
    </row>
    <row r="155" spans="1:19">
      <c r="A155" s="160"/>
      <c r="B155" s="59"/>
      <c r="C155" s="24">
        <f t="shared" si="28"/>
        <v>1</v>
      </c>
      <c r="D155" s="720"/>
      <c r="E155" s="24">
        <f t="shared" si="29"/>
        <v>0.06</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7">
        <f t="shared" si="36"/>
        <v>0</v>
      </c>
      <c r="S155" s="362">
        <f t="shared" si="27"/>
        <v>0</v>
      </c>
    </row>
    <row r="156" spans="1:19">
      <c r="A156" s="160"/>
      <c r="B156" s="59"/>
      <c r="C156" s="24">
        <f t="shared" si="28"/>
        <v>1</v>
      </c>
      <c r="D156" s="720"/>
      <c r="E156" s="24">
        <f t="shared" si="29"/>
        <v>0.06</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7">
        <f t="shared" si="36"/>
        <v>0</v>
      </c>
      <c r="S156" s="362">
        <f t="shared" si="27"/>
        <v>0</v>
      </c>
    </row>
    <row r="157" spans="1:19">
      <c r="A157" s="160"/>
      <c r="B157" s="59"/>
      <c r="C157" s="24">
        <f t="shared" si="28"/>
        <v>1</v>
      </c>
      <c r="D157" s="720"/>
      <c r="E157" s="24">
        <f t="shared" si="29"/>
        <v>0.06</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7">
        <f t="shared" si="36"/>
        <v>0</v>
      </c>
      <c r="S157" s="362">
        <f t="shared" si="27"/>
        <v>0</v>
      </c>
    </row>
    <row r="158" spans="1:19">
      <c r="A158" s="160"/>
      <c r="B158" s="59"/>
      <c r="C158" s="24">
        <f t="shared" si="28"/>
        <v>1</v>
      </c>
      <c r="D158" s="720"/>
      <c r="E158" s="24">
        <f t="shared" si="29"/>
        <v>0.06</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7">
        <f t="shared" si="36"/>
        <v>0</v>
      </c>
      <c r="S158" s="362">
        <f t="shared" si="27"/>
        <v>0</v>
      </c>
    </row>
    <row r="159" spans="1:19">
      <c r="A159" s="160"/>
      <c r="B159" s="59"/>
      <c r="C159" s="24">
        <f t="shared" si="28"/>
        <v>1</v>
      </c>
      <c r="D159" s="720"/>
      <c r="E159" s="24">
        <f t="shared" si="29"/>
        <v>0.06</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7">
        <f t="shared" si="36"/>
        <v>0</v>
      </c>
      <c r="S159" s="362">
        <f t="shared" si="27"/>
        <v>0</v>
      </c>
    </row>
    <row r="160" spans="1:19">
      <c r="A160" s="160"/>
      <c r="B160" s="59"/>
      <c r="C160" s="24">
        <f t="shared" si="28"/>
        <v>1</v>
      </c>
      <c r="D160" s="720"/>
      <c r="E160" s="24">
        <f t="shared" si="29"/>
        <v>0.06</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7">
        <f t="shared" si="36"/>
        <v>0</v>
      </c>
      <c r="S160" s="362">
        <f t="shared" si="27"/>
        <v>0</v>
      </c>
    </row>
    <row r="161" spans="1:19">
      <c r="A161" s="160"/>
      <c r="B161" s="59"/>
      <c r="C161" s="24">
        <f t="shared" si="28"/>
        <v>1</v>
      </c>
      <c r="D161" s="720"/>
      <c r="E161" s="24">
        <f t="shared" si="29"/>
        <v>0.06</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7">
        <f t="shared" si="36"/>
        <v>0</v>
      </c>
      <c r="S161" s="362">
        <f t="shared" si="27"/>
        <v>0</v>
      </c>
    </row>
    <row r="162" spans="1:19">
      <c r="A162" s="160"/>
      <c r="B162" s="59"/>
      <c r="C162" s="24">
        <f t="shared" si="28"/>
        <v>1</v>
      </c>
      <c r="D162" s="720"/>
      <c r="E162" s="24">
        <f t="shared" si="29"/>
        <v>0.06</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7">
        <f t="shared" si="36"/>
        <v>0</v>
      </c>
      <c r="S162" s="362">
        <f t="shared" si="27"/>
        <v>0</v>
      </c>
    </row>
    <row r="163" spans="1:19">
      <c r="A163" s="160"/>
      <c r="B163" s="59"/>
      <c r="C163" s="24">
        <f t="shared" si="28"/>
        <v>1</v>
      </c>
      <c r="D163" s="720"/>
      <c r="E163" s="24">
        <f t="shared" si="29"/>
        <v>0.06</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7">
        <f t="shared" si="36"/>
        <v>0</v>
      </c>
      <c r="S163" s="362">
        <f t="shared" si="27"/>
        <v>0</v>
      </c>
    </row>
    <row r="164" spans="1:19">
      <c r="A164" s="160"/>
      <c r="B164" s="59"/>
      <c r="C164" s="24">
        <f t="shared" si="28"/>
        <v>1</v>
      </c>
      <c r="D164" s="720"/>
      <c r="E164" s="24">
        <f t="shared" si="29"/>
        <v>0.06</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7">
        <f t="shared" si="36"/>
        <v>0</v>
      </c>
      <c r="S164" s="362">
        <f t="shared" si="27"/>
        <v>0</v>
      </c>
    </row>
    <row r="165" spans="1:19">
      <c r="A165" s="160"/>
      <c r="B165" s="59"/>
      <c r="C165" s="24">
        <f t="shared" si="28"/>
        <v>1</v>
      </c>
      <c r="D165" s="720"/>
      <c r="E165" s="24">
        <f t="shared" si="29"/>
        <v>0.06</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7">
        <f t="shared" si="36"/>
        <v>0</v>
      </c>
      <c r="S165" s="362">
        <f t="shared" si="27"/>
        <v>0</v>
      </c>
    </row>
    <row r="166" spans="1:19">
      <c r="A166" s="160"/>
      <c r="B166" s="59"/>
      <c r="C166" s="24">
        <f t="shared" si="28"/>
        <v>1</v>
      </c>
      <c r="D166" s="720"/>
      <c r="E166" s="24">
        <f t="shared" si="29"/>
        <v>0.06</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7">
        <f t="shared" si="36"/>
        <v>0</v>
      </c>
      <c r="S166" s="362">
        <f t="shared" si="27"/>
        <v>0</v>
      </c>
    </row>
    <row r="167" spans="1:19">
      <c r="A167" s="160"/>
      <c r="B167" s="59"/>
      <c r="C167" s="24">
        <f t="shared" si="28"/>
        <v>1</v>
      </c>
      <c r="D167" s="720"/>
      <c r="E167" s="24">
        <f t="shared" si="29"/>
        <v>0.06</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7">
        <f t="shared" si="36"/>
        <v>0</v>
      </c>
      <c r="S167" s="362">
        <f t="shared" si="27"/>
        <v>0</v>
      </c>
    </row>
    <row r="168" spans="1:19">
      <c r="A168" s="160"/>
      <c r="B168" s="59"/>
      <c r="C168" s="24">
        <f t="shared" si="28"/>
        <v>1</v>
      </c>
      <c r="D168" s="720"/>
      <c r="E168" s="24">
        <f t="shared" si="29"/>
        <v>0.06</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7">
        <f t="shared" si="36"/>
        <v>0</v>
      </c>
      <c r="S168" s="362">
        <f t="shared" si="27"/>
        <v>0</v>
      </c>
    </row>
    <row r="169" spans="1:19">
      <c r="A169" s="160"/>
      <c r="B169" s="59"/>
      <c r="C169" s="24">
        <f t="shared" si="28"/>
        <v>1</v>
      </c>
      <c r="D169" s="720"/>
      <c r="E169" s="24">
        <f t="shared" si="29"/>
        <v>0.06</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7">
        <f t="shared" si="36"/>
        <v>0</v>
      </c>
      <c r="S169" s="362">
        <f t="shared" si="27"/>
        <v>0</v>
      </c>
    </row>
    <row r="170" spans="1:19">
      <c r="A170" s="160"/>
      <c r="B170" s="59"/>
      <c r="C170" s="24">
        <f t="shared" si="28"/>
        <v>1</v>
      </c>
      <c r="D170" s="720"/>
      <c r="E170" s="24">
        <f t="shared" si="29"/>
        <v>0.06</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7">
        <f t="shared" si="36"/>
        <v>0</v>
      </c>
      <c r="S170" s="362">
        <f t="shared" si="27"/>
        <v>0</v>
      </c>
    </row>
    <row r="171" spans="1:19">
      <c r="A171" s="160"/>
      <c r="B171" s="59"/>
      <c r="C171" s="24">
        <f t="shared" si="28"/>
        <v>1</v>
      </c>
      <c r="D171" s="720"/>
      <c r="E171" s="24">
        <f t="shared" si="29"/>
        <v>0.06</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7">
        <f t="shared" si="36"/>
        <v>0</v>
      </c>
      <c r="S171" s="362">
        <f t="shared" si="27"/>
        <v>0</v>
      </c>
    </row>
    <row r="172" spans="1:19">
      <c r="A172" s="160"/>
      <c r="B172" s="59"/>
      <c r="C172" s="24">
        <f t="shared" si="28"/>
        <v>1</v>
      </c>
      <c r="D172" s="720"/>
      <c r="E172" s="24">
        <f t="shared" si="29"/>
        <v>0.06</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7">
        <f t="shared" si="36"/>
        <v>0</v>
      </c>
      <c r="S172" s="362">
        <f t="shared" si="27"/>
        <v>0</v>
      </c>
    </row>
    <row r="173" spans="1:19">
      <c r="A173" s="160"/>
      <c r="B173" s="59"/>
      <c r="C173" s="24">
        <f t="shared" si="28"/>
        <v>1</v>
      </c>
      <c r="D173" s="720"/>
      <c r="E173" s="24">
        <f t="shared" si="29"/>
        <v>0.06</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7">
        <f t="shared" si="36"/>
        <v>0</v>
      </c>
      <c r="S173" s="362">
        <f t="shared" si="27"/>
        <v>0</v>
      </c>
    </row>
    <row r="174" spans="1:19">
      <c r="A174" s="160"/>
      <c r="B174" s="59"/>
      <c r="C174" s="24">
        <f t="shared" si="28"/>
        <v>1</v>
      </c>
      <c r="D174" s="720"/>
      <c r="E174" s="24">
        <f t="shared" si="29"/>
        <v>0.06</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7">
        <f t="shared" si="36"/>
        <v>0</v>
      </c>
      <c r="S174" s="362">
        <f t="shared" si="27"/>
        <v>0</v>
      </c>
    </row>
    <row r="175" spans="1:19">
      <c r="A175" s="160"/>
      <c r="B175" s="59"/>
      <c r="C175" s="24">
        <f t="shared" si="28"/>
        <v>1</v>
      </c>
      <c r="D175" s="720"/>
      <c r="E175" s="24">
        <f t="shared" si="29"/>
        <v>0.06</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7">
        <f t="shared" si="36"/>
        <v>0</v>
      </c>
      <c r="S175" s="362">
        <f t="shared" si="27"/>
        <v>0</v>
      </c>
    </row>
    <row r="176" spans="1:19">
      <c r="A176" s="160"/>
      <c r="B176" s="59"/>
      <c r="C176" s="24">
        <f t="shared" si="28"/>
        <v>1</v>
      </c>
      <c r="D176" s="720"/>
      <c r="E176" s="24">
        <f t="shared" si="29"/>
        <v>0.06</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7">
        <f t="shared" si="36"/>
        <v>0</v>
      </c>
      <c r="S176" s="362">
        <f t="shared" si="27"/>
        <v>0</v>
      </c>
    </row>
    <row r="177" spans="1:19">
      <c r="A177" s="160"/>
      <c r="B177" s="59"/>
      <c r="C177" s="24">
        <f t="shared" si="28"/>
        <v>1</v>
      </c>
      <c r="D177" s="720"/>
      <c r="E177" s="24">
        <f t="shared" si="29"/>
        <v>0.06</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7">
        <f t="shared" si="36"/>
        <v>0</v>
      </c>
      <c r="S177" s="362">
        <f t="shared" si="27"/>
        <v>0</v>
      </c>
    </row>
    <row r="178" spans="1:19">
      <c r="A178" s="160"/>
      <c r="B178" s="59"/>
      <c r="C178" s="24">
        <f t="shared" si="28"/>
        <v>1</v>
      </c>
      <c r="D178" s="720"/>
      <c r="E178" s="24">
        <f t="shared" si="29"/>
        <v>0.06</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7">
        <f t="shared" si="36"/>
        <v>0</v>
      </c>
      <c r="S178" s="362">
        <f t="shared" si="27"/>
        <v>0</v>
      </c>
    </row>
    <row r="179" spans="1:19">
      <c r="A179" s="160"/>
      <c r="B179" s="59"/>
      <c r="C179" s="24">
        <f t="shared" si="28"/>
        <v>1</v>
      </c>
      <c r="D179" s="720"/>
      <c r="E179" s="24">
        <f t="shared" si="29"/>
        <v>0.06</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7">
        <f t="shared" si="36"/>
        <v>0</v>
      </c>
      <c r="S179" s="362">
        <f t="shared" si="27"/>
        <v>0</v>
      </c>
    </row>
    <row r="180" spans="1:19">
      <c r="A180" s="160"/>
      <c r="B180" s="59"/>
      <c r="C180" s="24">
        <f t="shared" si="28"/>
        <v>1</v>
      </c>
      <c r="D180" s="720"/>
      <c r="E180" s="24">
        <f t="shared" si="29"/>
        <v>0.06</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7">
        <f t="shared" si="36"/>
        <v>0</v>
      </c>
      <c r="S180" s="362">
        <f t="shared" si="27"/>
        <v>0</v>
      </c>
    </row>
    <row r="181" spans="1:19">
      <c r="A181" s="160"/>
      <c r="B181" s="59"/>
      <c r="C181" s="24">
        <f t="shared" si="28"/>
        <v>1</v>
      </c>
      <c r="D181" s="720"/>
      <c r="E181" s="24">
        <f t="shared" si="29"/>
        <v>0.06</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7">
        <f t="shared" si="36"/>
        <v>0</v>
      </c>
      <c r="S181" s="362">
        <f t="shared" si="27"/>
        <v>0</v>
      </c>
    </row>
    <row r="182" spans="1:19">
      <c r="A182" s="160"/>
      <c r="B182" s="59"/>
      <c r="C182" s="24">
        <f t="shared" si="28"/>
        <v>1</v>
      </c>
      <c r="D182" s="720"/>
      <c r="E182" s="24">
        <f t="shared" si="29"/>
        <v>0.06</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7">
        <f t="shared" si="36"/>
        <v>0</v>
      </c>
      <c r="S182" s="362">
        <f t="shared" si="27"/>
        <v>0</v>
      </c>
    </row>
    <row r="183" spans="1:19">
      <c r="A183" s="160"/>
      <c r="B183" s="59"/>
      <c r="C183" s="24">
        <f t="shared" si="28"/>
        <v>1</v>
      </c>
      <c r="D183" s="720"/>
      <c r="E183" s="24">
        <f t="shared" si="29"/>
        <v>0.06</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7">
        <f t="shared" si="36"/>
        <v>0</v>
      </c>
      <c r="S183" s="362">
        <f t="shared" si="27"/>
        <v>0</v>
      </c>
    </row>
    <row r="184" spans="1:19">
      <c r="A184" s="160"/>
      <c r="B184" s="59"/>
      <c r="C184" s="24">
        <f t="shared" si="28"/>
        <v>1</v>
      </c>
      <c r="D184" s="720"/>
      <c r="E184" s="24">
        <f t="shared" si="29"/>
        <v>0.06</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7">
        <f t="shared" si="36"/>
        <v>0</v>
      </c>
      <c r="S184" s="362">
        <f t="shared" si="27"/>
        <v>0</v>
      </c>
    </row>
    <row r="185" spans="1:19">
      <c r="A185" s="160"/>
      <c r="B185" s="59"/>
      <c r="C185" s="24">
        <f t="shared" si="28"/>
        <v>1</v>
      </c>
      <c r="D185" s="720"/>
      <c r="E185" s="24">
        <f t="shared" si="29"/>
        <v>0.06</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7">
        <f t="shared" si="36"/>
        <v>0</v>
      </c>
      <c r="S185" s="362">
        <f t="shared" si="27"/>
        <v>0</v>
      </c>
    </row>
    <row r="186" spans="1:19">
      <c r="A186" s="160"/>
      <c r="B186" s="59"/>
      <c r="C186" s="24">
        <f t="shared" si="28"/>
        <v>1</v>
      </c>
      <c r="D186" s="720"/>
      <c r="E186" s="24">
        <f t="shared" si="29"/>
        <v>0.06</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7">
        <f t="shared" si="36"/>
        <v>0</v>
      </c>
      <c r="S186" s="362">
        <f t="shared" si="27"/>
        <v>0</v>
      </c>
    </row>
    <row r="187" spans="1:19">
      <c r="A187" s="160"/>
      <c r="B187" s="59"/>
      <c r="C187" s="24">
        <f t="shared" si="28"/>
        <v>1</v>
      </c>
      <c r="D187" s="720"/>
      <c r="E187" s="24">
        <f t="shared" si="29"/>
        <v>0.06</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7">
        <f t="shared" si="36"/>
        <v>0</v>
      </c>
      <c r="S187" s="362">
        <f t="shared" ref="S187:S222" si="37">ROUND(R187*B187/10000,0)</f>
        <v>0</v>
      </c>
    </row>
    <row r="188" spans="1:19">
      <c r="A188" s="160"/>
      <c r="B188" s="59"/>
      <c r="C188" s="24">
        <f t="shared" si="28"/>
        <v>1</v>
      </c>
      <c r="D188" s="720"/>
      <c r="E188" s="24">
        <f t="shared" si="29"/>
        <v>0.06</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7">
        <f t="shared" si="36"/>
        <v>0</v>
      </c>
      <c r="S188" s="362">
        <f t="shared" si="37"/>
        <v>0</v>
      </c>
    </row>
    <row r="189" spans="1:19">
      <c r="A189" s="160"/>
      <c r="B189" s="59"/>
      <c r="C189" s="24">
        <f t="shared" si="28"/>
        <v>1</v>
      </c>
      <c r="D189" s="720"/>
      <c r="E189" s="24">
        <f t="shared" si="29"/>
        <v>0.06</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7">
        <f t="shared" si="36"/>
        <v>0</v>
      </c>
      <c r="S189" s="362">
        <f t="shared" si="37"/>
        <v>0</v>
      </c>
    </row>
    <row r="190" spans="1:19">
      <c r="A190" s="160"/>
      <c r="B190" s="59"/>
      <c r="C190" s="24">
        <f t="shared" si="28"/>
        <v>1</v>
      </c>
      <c r="D190" s="720"/>
      <c r="E190" s="24">
        <f t="shared" si="29"/>
        <v>0.06</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7">
        <f t="shared" si="36"/>
        <v>0</v>
      </c>
      <c r="S190" s="362">
        <f t="shared" si="37"/>
        <v>0</v>
      </c>
    </row>
    <row r="191" spans="1:19">
      <c r="A191" s="160"/>
      <c r="B191" s="59"/>
      <c r="C191" s="24">
        <f t="shared" si="28"/>
        <v>1</v>
      </c>
      <c r="D191" s="720"/>
      <c r="E191" s="24">
        <f t="shared" si="29"/>
        <v>0.06</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7">
        <f t="shared" si="36"/>
        <v>0</v>
      </c>
      <c r="S191" s="362">
        <f t="shared" si="37"/>
        <v>0</v>
      </c>
    </row>
    <row r="192" spans="1:19">
      <c r="A192" s="160"/>
      <c r="B192" s="59"/>
      <c r="C192" s="24">
        <f t="shared" si="28"/>
        <v>1</v>
      </c>
      <c r="D192" s="720"/>
      <c r="E192" s="24">
        <f t="shared" si="29"/>
        <v>0.06</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7">
        <f t="shared" si="36"/>
        <v>0</v>
      </c>
      <c r="S192" s="362">
        <f t="shared" si="37"/>
        <v>0</v>
      </c>
    </row>
    <row r="193" spans="1:19">
      <c r="A193" s="160"/>
      <c r="B193" s="59"/>
      <c r="C193" s="24">
        <f t="shared" si="28"/>
        <v>1</v>
      </c>
      <c r="D193" s="720"/>
      <c r="E193" s="24">
        <f t="shared" si="29"/>
        <v>0.06</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7">
        <f t="shared" si="36"/>
        <v>0</v>
      </c>
      <c r="S193" s="362">
        <f t="shared" si="37"/>
        <v>0</v>
      </c>
    </row>
    <row r="194" spans="1:19">
      <c r="A194" s="160"/>
      <c r="B194" s="59"/>
      <c r="C194" s="24">
        <f t="shared" si="28"/>
        <v>1</v>
      </c>
      <c r="D194" s="720"/>
      <c r="E194" s="24">
        <f t="shared" si="29"/>
        <v>0.06</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7">
        <f t="shared" si="36"/>
        <v>0</v>
      </c>
      <c r="S194" s="362">
        <f t="shared" si="37"/>
        <v>0</v>
      </c>
    </row>
    <row r="195" spans="1:19">
      <c r="A195" s="160"/>
      <c r="B195" s="59"/>
      <c r="C195" s="24">
        <f t="shared" si="28"/>
        <v>1</v>
      </c>
      <c r="D195" s="720"/>
      <c r="E195" s="24">
        <f t="shared" si="29"/>
        <v>0.06</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7">
        <f t="shared" si="36"/>
        <v>0</v>
      </c>
      <c r="S195" s="362">
        <f t="shared" si="37"/>
        <v>0</v>
      </c>
    </row>
    <row r="196" spans="1:19">
      <c r="A196" s="160"/>
      <c r="B196" s="59"/>
      <c r="C196" s="24">
        <f t="shared" si="28"/>
        <v>1</v>
      </c>
      <c r="D196" s="720"/>
      <c r="E196" s="24">
        <f t="shared" si="29"/>
        <v>0.06</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7">
        <f t="shared" si="36"/>
        <v>0</v>
      </c>
      <c r="S196" s="362">
        <f t="shared" si="37"/>
        <v>0</v>
      </c>
    </row>
    <row r="197" spans="1:19">
      <c r="A197" s="160"/>
      <c r="B197" s="59"/>
      <c r="C197" s="24">
        <f t="shared" si="28"/>
        <v>1</v>
      </c>
      <c r="D197" s="720"/>
      <c r="E197" s="24">
        <f t="shared" si="29"/>
        <v>0.06</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7">
        <f t="shared" si="36"/>
        <v>0</v>
      </c>
      <c r="S197" s="362">
        <f t="shared" si="37"/>
        <v>0</v>
      </c>
    </row>
    <row r="198" spans="1:19">
      <c r="A198" s="160"/>
      <c r="B198" s="59"/>
      <c r="C198" s="24">
        <f t="shared" si="28"/>
        <v>1</v>
      </c>
      <c r="D198" s="720"/>
      <c r="E198" s="24">
        <f t="shared" si="29"/>
        <v>0.06</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7">
        <f t="shared" si="36"/>
        <v>0</v>
      </c>
      <c r="S198" s="362">
        <f t="shared" si="37"/>
        <v>0</v>
      </c>
    </row>
    <row r="199" spans="1:19">
      <c r="A199" s="160"/>
      <c r="B199" s="59"/>
      <c r="C199" s="24">
        <f t="shared" si="28"/>
        <v>1</v>
      </c>
      <c r="D199" s="720"/>
      <c r="E199" s="24">
        <f t="shared" si="29"/>
        <v>0.06</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7">
        <f t="shared" si="36"/>
        <v>0</v>
      </c>
      <c r="S199" s="362">
        <f t="shared" si="37"/>
        <v>0</v>
      </c>
    </row>
    <row r="200" spans="1:19">
      <c r="A200" s="160"/>
      <c r="B200" s="59"/>
      <c r="C200" s="24">
        <f t="shared" si="28"/>
        <v>1</v>
      </c>
      <c r="D200" s="720"/>
      <c r="E200" s="24">
        <f t="shared" si="29"/>
        <v>0.06</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7">
        <f t="shared" si="36"/>
        <v>0</v>
      </c>
      <c r="S200" s="362">
        <f t="shared" si="37"/>
        <v>0</v>
      </c>
    </row>
    <row r="201" spans="1:19">
      <c r="A201" s="160"/>
      <c r="B201" s="59"/>
      <c r="C201" s="24">
        <f t="shared" si="28"/>
        <v>1</v>
      </c>
      <c r="D201" s="720"/>
      <c r="E201" s="24">
        <f t="shared" si="29"/>
        <v>0.06</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7">
        <f t="shared" si="36"/>
        <v>0</v>
      </c>
      <c r="S201" s="362">
        <f t="shared" si="37"/>
        <v>0</v>
      </c>
    </row>
    <row r="202" spans="1:19">
      <c r="A202" s="160"/>
      <c r="B202" s="59"/>
      <c r="C202" s="24">
        <f t="shared" si="28"/>
        <v>1</v>
      </c>
      <c r="D202" s="720"/>
      <c r="E202" s="24">
        <f t="shared" si="29"/>
        <v>0.06</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7">
        <f t="shared" si="36"/>
        <v>0</v>
      </c>
      <c r="S202" s="362">
        <f t="shared" si="37"/>
        <v>0</v>
      </c>
    </row>
    <row r="203" spans="1:19">
      <c r="A203" s="160"/>
      <c r="B203" s="59"/>
      <c r="C203" s="24">
        <f t="shared" si="28"/>
        <v>1</v>
      </c>
      <c r="D203" s="720"/>
      <c r="E203" s="24">
        <f t="shared" si="29"/>
        <v>0.06</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7">
        <f t="shared" si="36"/>
        <v>0</v>
      </c>
      <c r="S203" s="362">
        <f t="shared" si="37"/>
        <v>0</v>
      </c>
    </row>
    <row r="204" spans="1:19">
      <c r="A204" s="160"/>
      <c r="B204" s="59"/>
      <c r="C204" s="24">
        <f t="shared" si="28"/>
        <v>1</v>
      </c>
      <c r="D204" s="720"/>
      <c r="E204" s="24">
        <f t="shared" si="29"/>
        <v>0.06</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7">
        <f t="shared" si="36"/>
        <v>0</v>
      </c>
      <c r="S204" s="362">
        <f t="shared" si="37"/>
        <v>0</v>
      </c>
    </row>
    <row r="205" spans="1:19">
      <c r="A205" s="160"/>
      <c r="B205" s="59"/>
      <c r="C205" s="24">
        <f t="shared" si="28"/>
        <v>1</v>
      </c>
      <c r="D205" s="720"/>
      <c r="E205" s="24">
        <f t="shared" si="29"/>
        <v>0.06</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7">
        <f t="shared" si="36"/>
        <v>0</v>
      </c>
      <c r="S205" s="362">
        <f t="shared" si="37"/>
        <v>0</v>
      </c>
    </row>
    <row r="206" spans="1:19">
      <c r="A206" s="160"/>
      <c r="B206" s="59"/>
      <c r="C206" s="24">
        <f t="shared" si="28"/>
        <v>1</v>
      </c>
      <c r="D206" s="720"/>
      <c r="E206" s="24">
        <f t="shared" si="29"/>
        <v>0.06</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7">
        <f t="shared" si="36"/>
        <v>0</v>
      </c>
      <c r="S206" s="362">
        <f t="shared" si="37"/>
        <v>0</v>
      </c>
    </row>
    <row r="207" spans="1:19">
      <c r="A207" s="160"/>
      <c r="B207" s="59"/>
      <c r="C207" s="24">
        <f t="shared" si="28"/>
        <v>1</v>
      </c>
      <c r="D207" s="720"/>
      <c r="E207" s="24">
        <f t="shared" si="29"/>
        <v>0.06</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7">
        <f t="shared" si="36"/>
        <v>0</v>
      </c>
      <c r="S207" s="362">
        <f t="shared" si="37"/>
        <v>0</v>
      </c>
    </row>
    <row r="208" spans="1:19">
      <c r="A208" s="160"/>
      <c r="B208" s="59"/>
      <c r="C208" s="24">
        <f t="shared" si="28"/>
        <v>1</v>
      </c>
      <c r="D208" s="720"/>
      <c r="E208" s="24">
        <f t="shared" si="29"/>
        <v>0.06</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7">
        <f t="shared" si="36"/>
        <v>0</v>
      </c>
      <c r="S208" s="362">
        <f t="shared" si="37"/>
        <v>0</v>
      </c>
    </row>
    <row r="209" spans="1:19">
      <c r="A209" s="160"/>
      <c r="B209" s="59"/>
      <c r="C209" s="24">
        <f t="shared" si="28"/>
        <v>1</v>
      </c>
      <c r="D209" s="720"/>
      <c r="E209" s="24">
        <f t="shared" si="29"/>
        <v>0.06</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7">
        <f t="shared" si="36"/>
        <v>0</v>
      </c>
      <c r="S209" s="362">
        <f t="shared" si="37"/>
        <v>0</v>
      </c>
    </row>
    <row r="210" spans="1:19">
      <c r="A210" s="160"/>
      <c r="B210" s="59"/>
      <c r="C210" s="24">
        <f t="shared" si="28"/>
        <v>1</v>
      </c>
      <c r="D210" s="720"/>
      <c r="E210" s="24">
        <f t="shared" si="29"/>
        <v>0.06</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7">
        <f t="shared" si="36"/>
        <v>0</v>
      </c>
      <c r="S210" s="362">
        <f t="shared" si="37"/>
        <v>0</v>
      </c>
    </row>
    <row r="211" spans="1:19">
      <c r="A211" s="160"/>
      <c r="B211" s="59"/>
      <c r="C211" s="24">
        <f t="shared" si="28"/>
        <v>1</v>
      </c>
      <c r="D211" s="720"/>
      <c r="E211" s="24">
        <f t="shared" si="29"/>
        <v>0.06</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7">
        <f t="shared" si="36"/>
        <v>0</v>
      </c>
      <c r="S211" s="362">
        <f t="shared" si="37"/>
        <v>0</v>
      </c>
    </row>
    <row r="212" spans="1:19">
      <c r="A212" s="160"/>
      <c r="B212" s="59"/>
      <c r="C212" s="24">
        <f t="shared" si="28"/>
        <v>1</v>
      </c>
      <c r="D212" s="720"/>
      <c r="E212" s="24">
        <f t="shared" si="29"/>
        <v>0.06</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7">
        <f t="shared" si="36"/>
        <v>0</v>
      </c>
      <c r="S212" s="362">
        <f t="shared" si="37"/>
        <v>0</v>
      </c>
    </row>
    <row r="213" spans="1:19">
      <c r="A213" s="160"/>
      <c r="B213" s="59"/>
      <c r="C213" s="24">
        <f t="shared" si="28"/>
        <v>1</v>
      </c>
      <c r="D213" s="720"/>
      <c r="E213" s="24">
        <f t="shared" si="29"/>
        <v>0.06</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7">
        <f t="shared" si="36"/>
        <v>0</v>
      </c>
      <c r="S213" s="362">
        <f t="shared" si="37"/>
        <v>0</v>
      </c>
    </row>
    <row r="214" spans="1:19">
      <c r="A214" s="160"/>
      <c r="B214" s="59"/>
      <c r="C214" s="24">
        <f t="shared" si="28"/>
        <v>1</v>
      </c>
      <c r="D214" s="720"/>
      <c r="E214" s="24">
        <f t="shared" si="29"/>
        <v>0.06</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7">
        <f t="shared" si="36"/>
        <v>0</v>
      </c>
      <c r="S214" s="362">
        <f t="shared" si="37"/>
        <v>0</v>
      </c>
    </row>
    <row r="215" spans="1:19">
      <c r="A215" s="160"/>
      <c r="B215" s="59"/>
      <c r="C215" s="24">
        <f t="shared" si="28"/>
        <v>1</v>
      </c>
      <c r="D215" s="720"/>
      <c r="E215" s="24">
        <f t="shared" si="29"/>
        <v>0.06</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7">
        <f t="shared" si="36"/>
        <v>0</v>
      </c>
      <c r="S215" s="362">
        <f t="shared" si="37"/>
        <v>0</v>
      </c>
    </row>
    <row r="216" spans="1:19">
      <c r="A216" s="160"/>
      <c r="B216" s="59"/>
      <c r="C216" s="24">
        <f t="shared" si="28"/>
        <v>1</v>
      </c>
      <c r="D216" s="720"/>
      <c r="E216" s="24">
        <f t="shared" si="29"/>
        <v>0.06</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7">
        <f t="shared" si="36"/>
        <v>0</v>
      </c>
      <c r="S216" s="362">
        <f t="shared" si="37"/>
        <v>0</v>
      </c>
    </row>
    <row r="217" spans="1:19">
      <c r="A217" s="160"/>
      <c r="B217" s="59"/>
      <c r="C217" s="24">
        <f t="shared" si="28"/>
        <v>1</v>
      </c>
      <c r="D217" s="720"/>
      <c r="E217" s="24">
        <f t="shared" si="29"/>
        <v>0.06</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7">
        <f t="shared" si="36"/>
        <v>0</v>
      </c>
      <c r="S217" s="362">
        <f t="shared" si="37"/>
        <v>0</v>
      </c>
    </row>
    <row r="218" spans="1:19">
      <c r="A218" s="160"/>
      <c r="B218" s="59"/>
      <c r="C218" s="24">
        <f t="shared" ref="C218:C281" si="38">IF(B218="",1,(LOOKUP(B218,$3:$3,$4:$4)-LOOKUP($B$24,$3:$3,$4:$4)+100)/100)</f>
        <v>1</v>
      </c>
      <c r="D218" s="720"/>
      <c r="E218" s="24">
        <f t="shared" ref="E218:E281" si="39">(SUMIF($5:$5,D218,$6:$6)-SUMIF($5:$5,$D$24,$6:$6)+100)/100</f>
        <v>0.06</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7">
        <f t="shared" ref="R218:R281" si="46">IF(B218="",0,ROUND($R$24*C218*E218*G218*I218*K218*M218*O218*Q218,0))</f>
        <v>0</v>
      </c>
      <c r="S218" s="362">
        <f t="shared" si="37"/>
        <v>0</v>
      </c>
    </row>
    <row r="219" spans="1:19">
      <c r="A219" s="160"/>
      <c r="B219" s="59"/>
      <c r="C219" s="24">
        <f t="shared" si="38"/>
        <v>1</v>
      </c>
      <c r="D219" s="720"/>
      <c r="E219" s="24">
        <f t="shared" si="39"/>
        <v>0.06</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7">
        <f t="shared" si="46"/>
        <v>0</v>
      </c>
      <c r="S219" s="362">
        <f t="shared" si="37"/>
        <v>0</v>
      </c>
    </row>
    <row r="220" spans="1:19">
      <c r="A220" s="160"/>
      <c r="B220" s="59"/>
      <c r="C220" s="24">
        <f t="shared" si="38"/>
        <v>1</v>
      </c>
      <c r="D220" s="720"/>
      <c r="E220" s="24">
        <f t="shared" si="39"/>
        <v>0.06</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7">
        <f t="shared" si="46"/>
        <v>0</v>
      </c>
      <c r="S220" s="362">
        <f t="shared" si="37"/>
        <v>0</v>
      </c>
    </row>
    <row r="221" spans="1:19">
      <c r="A221" s="160"/>
      <c r="B221" s="59"/>
      <c r="C221" s="24">
        <f t="shared" si="38"/>
        <v>1</v>
      </c>
      <c r="D221" s="720"/>
      <c r="E221" s="24">
        <f t="shared" si="39"/>
        <v>0.06</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7">
        <f t="shared" si="46"/>
        <v>0</v>
      </c>
      <c r="S221" s="362">
        <f t="shared" si="37"/>
        <v>0</v>
      </c>
    </row>
    <row r="222" spans="1:19">
      <c r="A222" s="160"/>
      <c r="B222" s="59"/>
      <c r="C222" s="24">
        <f t="shared" si="38"/>
        <v>1</v>
      </c>
      <c r="D222" s="720"/>
      <c r="E222" s="24">
        <f t="shared" si="39"/>
        <v>0.06</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7">
        <f t="shared" si="46"/>
        <v>0</v>
      </c>
      <c r="S222" s="362">
        <f t="shared" si="37"/>
        <v>0</v>
      </c>
    </row>
    <row r="223" spans="1:19">
      <c r="A223" s="160"/>
      <c r="B223" s="59"/>
      <c r="C223" s="24">
        <f t="shared" si="38"/>
        <v>1</v>
      </c>
      <c r="D223" s="720"/>
      <c r="E223" s="24">
        <f t="shared" si="39"/>
        <v>0.06</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7">
        <f t="shared" si="46"/>
        <v>0</v>
      </c>
      <c r="S223" s="362">
        <f t="shared" ref="S223:S286" si="47">ROUND(R223*B223/10000,0)</f>
        <v>0</v>
      </c>
    </row>
    <row r="224" spans="1:19">
      <c r="A224" s="160"/>
      <c r="B224" s="59"/>
      <c r="C224" s="24">
        <f t="shared" si="38"/>
        <v>1</v>
      </c>
      <c r="D224" s="720"/>
      <c r="E224" s="24">
        <f t="shared" si="39"/>
        <v>0.06</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7">
        <f t="shared" si="46"/>
        <v>0</v>
      </c>
      <c r="S224" s="362">
        <f t="shared" si="47"/>
        <v>0</v>
      </c>
    </row>
    <row r="225" spans="1:19">
      <c r="A225" s="160"/>
      <c r="B225" s="59"/>
      <c r="C225" s="24">
        <f t="shared" si="38"/>
        <v>1</v>
      </c>
      <c r="D225" s="720"/>
      <c r="E225" s="24">
        <f t="shared" si="39"/>
        <v>0.06</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7">
        <f t="shared" si="46"/>
        <v>0</v>
      </c>
      <c r="S225" s="362">
        <f t="shared" si="47"/>
        <v>0</v>
      </c>
    </row>
    <row r="226" spans="1:19">
      <c r="A226" s="160"/>
      <c r="B226" s="59"/>
      <c r="C226" s="24">
        <f t="shared" si="38"/>
        <v>1</v>
      </c>
      <c r="D226" s="720"/>
      <c r="E226" s="24">
        <f t="shared" si="39"/>
        <v>0.06</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7">
        <f t="shared" si="46"/>
        <v>0</v>
      </c>
      <c r="S226" s="362">
        <f t="shared" si="47"/>
        <v>0</v>
      </c>
    </row>
    <row r="227" spans="1:19">
      <c r="A227" s="160"/>
      <c r="B227" s="59"/>
      <c r="C227" s="24">
        <f t="shared" si="38"/>
        <v>1</v>
      </c>
      <c r="D227" s="720"/>
      <c r="E227" s="24">
        <f t="shared" si="39"/>
        <v>0.06</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7">
        <f t="shared" si="46"/>
        <v>0</v>
      </c>
      <c r="S227" s="362">
        <f t="shared" si="47"/>
        <v>0</v>
      </c>
    </row>
    <row r="228" spans="1:19">
      <c r="A228" s="160"/>
      <c r="B228" s="59"/>
      <c r="C228" s="24">
        <f t="shared" si="38"/>
        <v>1</v>
      </c>
      <c r="D228" s="720"/>
      <c r="E228" s="24">
        <f t="shared" si="39"/>
        <v>0.06</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7">
        <f t="shared" si="46"/>
        <v>0</v>
      </c>
      <c r="S228" s="362">
        <f t="shared" si="47"/>
        <v>0</v>
      </c>
    </row>
    <row r="229" spans="1:19">
      <c r="A229" s="160"/>
      <c r="B229" s="59"/>
      <c r="C229" s="24">
        <f t="shared" si="38"/>
        <v>1</v>
      </c>
      <c r="D229" s="720"/>
      <c r="E229" s="24">
        <f t="shared" si="39"/>
        <v>0.06</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7">
        <f t="shared" si="46"/>
        <v>0</v>
      </c>
      <c r="S229" s="362">
        <f t="shared" si="47"/>
        <v>0</v>
      </c>
    </row>
    <row r="230" spans="1:19">
      <c r="A230" s="160"/>
      <c r="B230" s="59"/>
      <c r="C230" s="24">
        <f t="shared" si="38"/>
        <v>1</v>
      </c>
      <c r="D230" s="720"/>
      <c r="E230" s="24">
        <f t="shared" si="39"/>
        <v>0.06</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7">
        <f t="shared" si="46"/>
        <v>0</v>
      </c>
      <c r="S230" s="362">
        <f t="shared" si="47"/>
        <v>0</v>
      </c>
    </row>
    <row r="231" spans="1:19">
      <c r="A231" s="160"/>
      <c r="B231" s="59"/>
      <c r="C231" s="24">
        <f t="shared" si="38"/>
        <v>1</v>
      </c>
      <c r="D231" s="720"/>
      <c r="E231" s="24">
        <f t="shared" si="39"/>
        <v>0.06</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7">
        <f t="shared" si="46"/>
        <v>0</v>
      </c>
      <c r="S231" s="362">
        <f t="shared" si="47"/>
        <v>0</v>
      </c>
    </row>
    <row r="232" spans="1:19">
      <c r="A232" s="160"/>
      <c r="B232" s="59"/>
      <c r="C232" s="24">
        <f t="shared" si="38"/>
        <v>1</v>
      </c>
      <c r="D232" s="720"/>
      <c r="E232" s="24">
        <f t="shared" si="39"/>
        <v>0.06</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7">
        <f t="shared" si="46"/>
        <v>0</v>
      </c>
      <c r="S232" s="362">
        <f t="shared" si="47"/>
        <v>0</v>
      </c>
    </row>
    <row r="233" spans="1:19">
      <c r="A233" s="160"/>
      <c r="B233" s="59"/>
      <c r="C233" s="24">
        <f t="shared" si="38"/>
        <v>1</v>
      </c>
      <c r="D233" s="720"/>
      <c r="E233" s="24">
        <f t="shared" si="39"/>
        <v>0.06</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7">
        <f t="shared" si="46"/>
        <v>0</v>
      </c>
      <c r="S233" s="362">
        <f t="shared" si="47"/>
        <v>0</v>
      </c>
    </row>
    <row r="234" spans="1:19">
      <c r="A234" s="160"/>
      <c r="B234" s="59"/>
      <c r="C234" s="24">
        <f t="shared" si="38"/>
        <v>1</v>
      </c>
      <c r="D234" s="720"/>
      <c r="E234" s="24">
        <f t="shared" si="39"/>
        <v>0.06</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7">
        <f t="shared" si="46"/>
        <v>0</v>
      </c>
      <c r="S234" s="362">
        <f t="shared" si="47"/>
        <v>0</v>
      </c>
    </row>
    <row r="235" spans="1:19">
      <c r="A235" s="160"/>
      <c r="B235" s="59"/>
      <c r="C235" s="24">
        <f t="shared" si="38"/>
        <v>1</v>
      </c>
      <c r="D235" s="720"/>
      <c r="E235" s="24">
        <f t="shared" si="39"/>
        <v>0.06</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7">
        <f t="shared" si="46"/>
        <v>0</v>
      </c>
      <c r="S235" s="362">
        <f t="shared" si="47"/>
        <v>0</v>
      </c>
    </row>
    <row r="236" spans="1:19">
      <c r="A236" s="160"/>
      <c r="B236" s="59"/>
      <c r="C236" s="24">
        <f t="shared" si="38"/>
        <v>1</v>
      </c>
      <c r="D236" s="720"/>
      <c r="E236" s="24">
        <f t="shared" si="39"/>
        <v>0.06</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7">
        <f t="shared" si="46"/>
        <v>0</v>
      </c>
      <c r="S236" s="362">
        <f t="shared" si="47"/>
        <v>0</v>
      </c>
    </row>
    <row r="237" spans="1:19">
      <c r="A237" s="160"/>
      <c r="B237" s="59"/>
      <c r="C237" s="24">
        <f t="shared" si="38"/>
        <v>1</v>
      </c>
      <c r="D237" s="720"/>
      <c r="E237" s="24">
        <f t="shared" si="39"/>
        <v>0.06</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7">
        <f t="shared" si="46"/>
        <v>0</v>
      </c>
      <c r="S237" s="362">
        <f t="shared" si="47"/>
        <v>0</v>
      </c>
    </row>
    <row r="238" spans="1:19">
      <c r="A238" s="160"/>
      <c r="B238" s="59"/>
      <c r="C238" s="24">
        <f t="shared" si="38"/>
        <v>1</v>
      </c>
      <c r="D238" s="720"/>
      <c r="E238" s="24">
        <f t="shared" si="39"/>
        <v>0.06</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7">
        <f t="shared" si="46"/>
        <v>0</v>
      </c>
      <c r="S238" s="362">
        <f t="shared" si="47"/>
        <v>0</v>
      </c>
    </row>
    <row r="239" spans="1:19">
      <c r="A239" s="160"/>
      <c r="B239" s="59"/>
      <c r="C239" s="24">
        <f t="shared" si="38"/>
        <v>1</v>
      </c>
      <c r="D239" s="720"/>
      <c r="E239" s="24">
        <f t="shared" si="39"/>
        <v>0.06</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7">
        <f t="shared" si="46"/>
        <v>0</v>
      </c>
      <c r="S239" s="362">
        <f t="shared" si="47"/>
        <v>0</v>
      </c>
    </row>
    <row r="240" spans="1:19">
      <c r="A240" s="160"/>
      <c r="B240" s="59"/>
      <c r="C240" s="24">
        <f t="shared" si="38"/>
        <v>1</v>
      </c>
      <c r="D240" s="720"/>
      <c r="E240" s="24">
        <f t="shared" si="39"/>
        <v>0.06</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7">
        <f t="shared" si="46"/>
        <v>0</v>
      </c>
      <c r="S240" s="362">
        <f t="shared" si="47"/>
        <v>0</v>
      </c>
    </row>
    <row r="241" spans="1:19">
      <c r="A241" s="160"/>
      <c r="B241" s="59"/>
      <c r="C241" s="24">
        <f t="shared" si="38"/>
        <v>1</v>
      </c>
      <c r="D241" s="720"/>
      <c r="E241" s="24">
        <f t="shared" si="39"/>
        <v>0.06</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7">
        <f t="shared" si="46"/>
        <v>0</v>
      </c>
      <c r="S241" s="362">
        <f t="shared" si="47"/>
        <v>0</v>
      </c>
    </row>
    <row r="242" spans="1:19">
      <c r="A242" s="160"/>
      <c r="B242" s="59"/>
      <c r="C242" s="24">
        <f t="shared" si="38"/>
        <v>1</v>
      </c>
      <c r="D242" s="720"/>
      <c r="E242" s="24">
        <f t="shared" si="39"/>
        <v>0.06</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7">
        <f t="shared" si="46"/>
        <v>0</v>
      </c>
      <c r="S242" s="362">
        <f t="shared" si="47"/>
        <v>0</v>
      </c>
    </row>
    <row r="243" spans="1:19">
      <c r="A243" s="160"/>
      <c r="B243" s="59"/>
      <c r="C243" s="24">
        <f t="shared" si="38"/>
        <v>1</v>
      </c>
      <c r="D243" s="720"/>
      <c r="E243" s="24">
        <f t="shared" si="39"/>
        <v>0.06</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7">
        <f t="shared" si="46"/>
        <v>0</v>
      </c>
      <c r="S243" s="362">
        <f t="shared" si="47"/>
        <v>0</v>
      </c>
    </row>
    <row r="244" spans="1:19">
      <c r="A244" s="160"/>
      <c r="B244" s="59"/>
      <c r="C244" s="24">
        <f t="shared" si="38"/>
        <v>1</v>
      </c>
      <c r="D244" s="720"/>
      <c r="E244" s="24">
        <f t="shared" si="39"/>
        <v>0.06</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7">
        <f t="shared" si="46"/>
        <v>0</v>
      </c>
      <c r="S244" s="362">
        <f t="shared" si="47"/>
        <v>0</v>
      </c>
    </row>
    <row r="245" spans="1:19">
      <c r="A245" s="160"/>
      <c r="B245" s="59"/>
      <c r="C245" s="24">
        <f t="shared" si="38"/>
        <v>1</v>
      </c>
      <c r="D245" s="720"/>
      <c r="E245" s="24">
        <f t="shared" si="39"/>
        <v>0.06</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7">
        <f t="shared" si="46"/>
        <v>0</v>
      </c>
      <c r="S245" s="362">
        <f t="shared" si="47"/>
        <v>0</v>
      </c>
    </row>
    <row r="246" spans="1:19">
      <c r="A246" s="160"/>
      <c r="B246" s="59"/>
      <c r="C246" s="24">
        <f t="shared" si="38"/>
        <v>1</v>
      </c>
      <c r="D246" s="720"/>
      <c r="E246" s="24">
        <f t="shared" si="39"/>
        <v>0.06</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7">
        <f t="shared" si="46"/>
        <v>0</v>
      </c>
      <c r="S246" s="362">
        <f t="shared" si="47"/>
        <v>0</v>
      </c>
    </row>
    <row r="247" spans="1:19">
      <c r="A247" s="160"/>
      <c r="B247" s="59"/>
      <c r="C247" s="24">
        <f t="shared" si="38"/>
        <v>1</v>
      </c>
      <c r="D247" s="720"/>
      <c r="E247" s="24">
        <f t="shared" si="39"/>
        <v>0.06</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7">
        <f t="shared" si="46"/>
        <v>0</v>
      </c>
      <c r="S247" s="362">
        <f t="shared" si="47"/>
        <v>0</v>
      </c>
    </row>
    <row r="248" spans="1:19">
      <c r="A248" s="160"/>
      <c r="B248" s="59"/>
      <c r="C248" s="24">
        <f t="shared" si="38"/>
        <v>1</v>
      </c>
      <c r="D248" s="720"/>
      <c r="E248" s="24">
        <f t="shared" si="39"/>
        <v>0.06</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7">
        <f t="shared" si="46"/>
        <v>0</v>
      </c>
      <c r="S248" s="362">
        <f t="shared" si="47"/>
        <v>0</v>
      </c>
    </row>
    <row r="249" spans="1:19">
      <c r="A249" s="160"/>
      <c r="B249" s="59"/>
      <c r="C249" s="24">
        <f t="shared" si="38"/>
        <v>1</v>
      </c>
      <c r="D249" s="720"/>
      <c r="E249" s="24">
        <f t="shared" si="39"/>
        <v>0.06</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7">
        <f t="shared" si="46"/>
        <v>0</v>
      </c>
      <c r="S249" s="362">
        <f t="shared" si="47"/>
        <v>0</v>
      </c>
    </row>
    <row r="250" spans="1:19">
      <c r="A250" s="160"/>
      <c r="B250" s="59"/>
      <c r="C250" s="24">
        <f t="shared" si="38"/>
        <v>1</v>
      </c>
      <c r="D250" s="720"/>
      <c r="E250" s="24">
        <f t="shared" si="39"/>
        <v>0.06</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7">
        <f t="shared" si="46"/>
        <v>0</v>
      </c>
      <c r="S250" s="362">
        <f t="shared" si="47"/>
        <v>0</v>
      </c>
    </row>
    <row r="251" spans="1:19">
      <c r="A251" s="160"/>
      <c r="B251" s="59"/>
      <c r="C251" s="24">
        <f t="shared" si="38"/>
        <v>1</v>
      </c>
      <c r="D251" s="720"/>
      <c r="E251" s="24">
        <f t="shared" si="39"/>
        <v>0.06</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7">
        <f t="shared" si="46"/>
        <v>0</v>
      </c>
      <c r="S251" s="362">
        <f t="shared" si="47"/>
        <v>0</v>
      </c>
    </row>
    <row r="252" spans="1:19">
      <c r="A252" s="160"/>
      <c r="B252" s="59"/>
      <c r="C252" s="24">
        <f t="shared" si="38"/>
        <v>1</v>
      </c>
      <c r="D252" s="720"/>
      <c r="E252" s="24">
        <f t="shared" si="39"/>
        <v>0.06</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7">
        <f t="shared" si="46"/>
        <v>0</v>
      </c>
      <c r="S252" s="362">
        <f t="shared" si="47"/>
        <v>0</v>
      </c>
    </row>
    <row r="253" spans="1:19">
      <c r="A253" s="160"/>
      <c r="B253" s="59"/>
      <c r="C253" s="24">
        <f t="shared" si="38"/>
        <v>1</v>
      </c>
      <c r="D253" s="720"/>
      <c r="E253" s="24">
        <f t="shared" si="39"/>
        <v>0.06</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7">
        <f t="shared" si="46"/>
        <v>0</v>
      </c>
      <c r="S253" s="362">
        <f t="shared" si="47"/>
        <v>0</v>
      </c>
    </row>
    <row r="254" spans="1:19">
      <c r="A254" s="160"/>
      <c r="B254" s="59"/>
      <c r="C254" s="24">
        <f t="shared" si="38"/>
        <v>1</v>
      </c>
      <c r="D254" s="720"/>
      <c r="E254" s="24">
        <f t="shared" si="39"/>
        <v>0.06</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7">
        <f t="shared" si="46"/>
        <v>0</v>
      </c>
      <c r="S254" s="362">
        <f t="shared" si="47"/>
        <v>0</v>
      </c>
    </row>
    <row r="255" spans="1:19">
      <c r="A255" s="160"/>
      <c r="B255" s="59"/>
      <c r="C255" s="24">
        <f t="shared" si="38"/>
        <v>1</v>
      </c>
      <c r="D255" s="720"/>
      <c r="E255" s="24">
        <f t="shared" si="39"/>
        <v>0.06</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7">
        <f t="shared" si="46"/>
        <v>0</v>
      </c>
      <c r="S255" s="362">
        <f t="shared" si="47"/>
        <v>0</v>
      </c>
    </row>
    <row r="256" spans="1:19">
      <c r="A256" s="160"/>
      <c r="B256" s="59"/>
      <c r="C256" s="24">
        <f t="shared" si="38"/>
        <v>1</v>
      </c>
      <c r="D256" s="720"/>
      <c r="E256" s="24">
        <f t="shared" si="39"/>
        <v>0.06</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7">
        <f t="shared" si="46"/>
        <v>0</v>
      </c>
      <c r="S256" s="362">
        <f t="shared" si="47"/>
        <v>0</v>
      </c>
    </row>
    <row r="257" spans="1:19">
      <c r="A257" s="160"/>
      <c r="B257" s="59"/>
      <c r="C257" s="24">
        <f t="shared" si="38"/>
        <v>1</v>
      </c>
      <c r="D257" s="720"/>
      <c r="E257" s="24">
        <f t="shared" si="39"/>
        <v>0.06</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7">
        <f t="shared" si="46"/>
        <v>0</v>
      </c>
      <c r="S257" s="362">
        <f t="shared" si="47"/>
        <v>0</v>
      </c>
    </row>
    <row r="258" spans="1:19">
      <c r="A258" s="160"/>
      <c r="B258" s="59"/>
      <c r="C258" s="24">
        <f t="shared" si="38"/>
        <v>1</v>
      </c>
      <c r="D258" s="720"/>
      <c r="E258" s="24">
        <f t="shared" si="39"/>
        <v>0.06</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7">
        <f t="shared" si="46"/>
        <v>0</v>
      </c>
      <c r="S258" s="362">
        <f t="shared" si="47"/>
        <v>0</v>
      </c>
    </row>
    <row r="259" spans="1:19">
      <c r="A259" s="160"/>
      <c r="B259" s="59"/>
      <c r="C259" s="24">
        <f t="shared" si="38"/>
        <v>1</v>
      </c>
      <c r="D259" s="720"/>
      <c r="E259" s="24">
        <f t="shared" si="39"/>
        <v>0.06</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7">
        <f t="shared" si="46"/>
        <v>0</v>
      </c>
      <c r="S259" s="362">
        <f t="shared" si="47"/>
        <v>0</v>
      </c>
    </row>
    <row r="260" spans="1:19">
      <c r="A260" s="160"/>
      <c r="B260" s="59"/>
      <c r="C260" s="24">
        <f t="shared" si="38"/>
        <v>1</v>
      </c>
      <c r="D260" s="720"/>
      <c r="E260" s="24">
        <f t="shared" si="39"/>
        <v>0.06</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7">
        <f t="shared" si="46"/>
        <v>0</v>
      </c>
      <c r="S260" s="362">
        <f t="shared" si="47"/>
        <v>0</v>
      </c>
    </row>
    <row r="261" spans="1:19">
      <c r="A261" s="160"/>
      <c r="B261" s="59"/>
      <c r="C261" s="24">
        <f t="shared" si="38"/>
        <v>1</v>
      </c>
      <c r="D261" s="720"/>
      <c r="E261" s="24">
        <f t="shared" si="39"/>
        <v>0.06</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7">
        <f t="shared" si="46"/>
        <v>0</v>
      </c>
      <c r="S261" s="362">
        <f t="shared" si="47"/>
        <v>0</v>
      </c>
    </row>
    <row r="262" spans="1:19">
      <c r="A262" s="160"/>
      <c r="B262" s="59"/>
      <c r="C262" s="24">
        <f t="shared" si="38"/>
        <v>1</v>
      </c>
      <c r="D262" s="720"/>
      <c r="E262" s="24">
        <f t="shared" si="39"/>
        <v>0.06</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7">
        <f t="shared" si="46"/>
        <v>0</v>
      </c>
      <c r="S262" s="362">
        <f t="shared" si="47"/>
        <v>0</v>
      </c>
    </row>
    <row r="263" spans="1:19">
      <c r="A263" s="160"/>
      <c r="B263" s="59"/>
      <c r="C263" s="24">
        <f t="shared" si="38"/>
        <v>1</v>
      </c>
      <c r="D263" s="720"/>
      <c r="E263" s="24">
        <f t="shared" si="39"/>
        <v>0.06</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7">
        <f t="shared" si="46"/>
        <v>0</v>
      </c>
      <c r="S263" s="362">
        <f t="shared" si="47"/>
        <v>0</v>
      </c>
    </row>
    <row r="264" spans="1:19">
      <c r="A264" s="160"/>
      <c r="B264" s="59"/>
      <c r="C264" s="24">
        <f t="shared" si="38"/>
        <v>1</v>
      </c>
      <c r="D264" s="720"/>
      <c r="E264" s="24">
        <f t="shared" si="39"/>
        <v>0.06</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7">
        <f t="shared" si="46"/>
        <v>0</v>
      </c>
      <c r="S264" s="362">
        <f t="shared" si="47"/>
        <v>0</v>
      </c>
    </row>
    <row r="265" spans="1:19">
      <c r="A265" s="160"/>
      <c r="B265" s="59"/>
      <c r="C265" s="24">
        <f t="shared" si="38"/>
        <v>1</v>
      </c>
      <c r="D265" s="720"/>
      <c r="E265" s="24">
        <f t="shared" si="39"/>
        <v>0.06</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7">
        <f t="shared" si="46"/>
        <v>0</v>
      </c>
      <c r="S265" s="362">
        <f t="shared" si="47"/>
        <v>0</v>
      </c>
    </row>
    <row r="266" spans="1:19">
      <c r="A266" s="160"/>
      <c r="B266" s="59"/>
      <c r="C266" s="24">
        <f t="shared" si="38"/>
        <v>1</v>
      </c>
      <c r="D266" s="720"/>
      <c r="E266" s="24">
        <f t="shared" si="39"/>
        <v>0.06</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7">
        <f t="shared" si="46"/>
        <v>0</v>
      </c>
      <c r="S266" s="362">
        <f t="shared" si="47"/>
        <v>0</v>
      </c>
    </row>
    <row r="267" spans="1:19">
      <c r="A267" s="160"/>
      <c r="B267" s="59"/>
      <c r="C267" s="24">
        <f t="shared" si="38"/>
        <v>1</v>
      </c>
      <c r="D267" s="720"/>
      <c r="E267" s="24">
        <f t="shared" si="39"/>
        <v>0.06</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7">
        <f t="shared" si="46"/>
        <v>0</v>
      </c>
      <c r="S267" s="362">
        <f t="shared" si="47"/>
        <v>0</v>
      </c>
    </row>
    <row r="268" spans="1:19">
      <c r="A268" s="160"/>
      <c r="B268" s="59"/>
      <c r="C268" s="24">
        <f t="shared" si="38"/>
        <v>1</v>
      </c>
      <c r="D268" s="720"/>
      <c r="E268" s="24">
        <f t="shared" si="39"/>
        <v>0.06</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7">
        <f t="shared" si="46"/>
        <v>0</v>
      </c>
      <c r="S268" s="362">
        <f t="shared" si="47"/>
        <v>0</v>
      </c>
    </row>
    <row r="269" spans="1:19">
      <c r="A269" s="160"/>
      <c r="B269" s="59"/>
      <c r="C269" s="24">
        <f t="shared" si="38"/>
        <v>1</v>
      </c>
      <c r="D269" s="720"/>
      <c r="E269" s="24">
        <f t="shared" si="39"/>
        <v>0.06</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7">
        <f t="shared" si="46"/>
        <v>0</v>
      </c>
      <c r="S269" s="362">
        <f t="shared" si="47"/>
        <v>0</v>
      </c>
    </row>
    <row r="270" spans="1:19">
      <c r="A270" s="160"/>
      <c r="B270" s="59"/>
      <c r="C270" s="24">
        <f t="shared" si="38"/>
        <v>1</v>
      </c>
      <c r="D270" s="720"/>
      <c r="E270" s="24">
        <f t="shared" si="39"/>
        <v>0.06</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7">
        <f t="shared" si="46"/>
        <v>0</v>
      </c>
      <c r="S270" s="362">
        <f t="shared" si="47"/>
        <v>0</v>
      </c>
    </row>
    <row r="271" spans="1:19">
      <c r="A271" s="160"/>
      <c r="B271" s="59"/>
      <c r="C271" s="24">
        <f t="shared" si="38"/>
        <v>1</v>
      </c>
      <c r="D271" s="720"/>
      <c r="E271" s="24">
        <f t="shared" si="39"/>
        <v>0.06</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7">
        <f t="shared" si="46"/>
        <v>0</v>
      </c>
      <c r="S271" s="362">
        <f t="shared" si="47"/>
        <v>0</v>
      </c>
    </row>
    <row r="272" spans="1:19">
      <c r="A272" s="160"/>
      <c r="B272" s="59"/>
      <c r="C272" s="24">
        <f t="shared" si="38"/>
        <v>1</v>
      </c>
      <c r="D272" s="720"/>
      <c r="E272" s="24">
        <f t="shared" si="39"/>
        <v>0.06</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7">
        <f t="shared" si="46"/>
        <v>0</v>
      </c>
      <c r="S272" s="362">
        <f t="shared" si="47"/>
        <v>0</v>
      </c>
    </row>
    <row r="273" spans="1:19">
      <c r="A273" s="160"/>
      <c r="B273" s="59"/>
      <c r="C273" s="24">
        <f t="shared" si="38"/>
        <v>1</v>
      </c>
      <c r="D273" s="720"/>
      <c r="E273" s="24">
        <f t="shared" si="39"/>
        <v>0.06</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7">
        <f t="shared" si="46"/>
        <v>0</v>
      </c>
      <c r="S273" s="362">
        <f t="shared" si="47"/>
        <v>0</v>
      </c>
    </row>
    <row r="274" spans="1:19">
      <c r="A274" s="160"/>
      <c r="B274" s="59"/>
      <c r="C274" s="24">
        <f t="shared" si="38"/>
        <v>1</v>
      </c>
      <c r="D274" s="720"/>
      <c r="E274" s="24">
        <f t="shared" si="39"/>
        <v>0.06</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7">
        <f t="shared" si="46"/>
        <v>0</v>
      </c>
      <c r="S274" s="362">
        <f t="shared" si="47"/>
        <v>0</v>
      </c>
    </row>
    <row r="275" spans="1:19">
      <c r="A275" s="160"/>
      <c r="B275" s="59"/>
      <c r="C275" s="24">
        <f t="shared" si="38"/>
        <v>1</v>
      </c>
      <c r="D275" s="720"/>
      <c r="E275" s="24">
        <f t="shared" si="39"/>
        <v>0.06</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7">
        <f t="shared" si="46"/>
        <v>0</v>
      </c>
      <c r="S275" s="362">
        <f t="shared" si="47"/>
        <v>0</v>
      </c>
    </row>
    <row r="276" spans="1:19">
      <c r="A276" s="160"/>
      <c r="B276" s="59"/>
      <c r="C276" s="24">
        <f t="shared" si="38"/>
        <v>1</v>
      </c>
      <c r="D276" s="720"/>
      <c r="E276" s="24">
        <f t="shared" si="39"/>
        <v>0.06</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7">
        <f t="shared" si="46"/>
        <v>0</v>
      </c>
      <c r="S276" s="362">
        <f t="shared" si="47"/>
        <v>0</v>
      </c>
    </row>
    <row r="277" spans="1:19">
      <c r="A277" s="160"/>
      <c r="B277" s="59"/>
      <c r="C277" s="24">
        <f t="shared" si="38"/>
        <v>1</v>
      </c>
      <c r="D277" s="720"/>
      <c r="E277" s="24">
        <f t="shared" si="39"/>
        <v>0.06</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7">
        <f t="shared" si="46"/>
        <v>0</v>
      </c>
      <c r="S277" s="362">
        <f t="shared" si="47"/>
        <v>0</v>
      </c>
    </row>
    <row r="278" spans="1:19">
      <c r="A278" s="160"/>
      <c r="B278" s="59"/>
      <c r="C278" s="24">
        <f t="shared" si="38"/>
        <v>1</v>
      </c>
      <c r="D278" s="720"/>
      <c r="E278" s="24">
        <f t="shared" si="39"/>
        <v>0.06</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7">
        <f t="shared" si="46"/>
        <v>0</v>
      </c>
      <c r="S278" s="362">
        <f t="shared" si="47"/>
        <v>0</v>
      </c>
    </row>
    <row r="279" spans="1:19">
      <c r="A279" s="160"/>
      <c r="B279" s="59"/>
      <c r="C279" s="24">
        <f t="shared" si="38"/>
        <v>1</v>
      </c>
      <c r="D279" s="720"/>
      <c r="E279" s="24">
        <f t="shared" si="39"/>
        <v>0.06</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7">
        <f t="shared" si="46"/>
        <v>0</v>
      </c>
      <c r="S279" s="362">
        <f t="shared" si="47"/>
        <v>0</v>
      </c>
    </row>
    <row r="280" spans="1:19">
      <c r="A280" s="160"/>
      <c r="B280" s="59"/>
      <c r="C280" s="24">
        <f t="shared" si="38"/>
        <v>1</v>
      </c>
      <c r="D280" s="720"/>
      <c r="E280" s="24">
        <f t="shared" si="39"/>
        <v>0.06</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7">
        <f t="shared" si="46"/>
        <v>0</v>
      </c>
      <c r="S280" s="362">
        <f t="shared" si="47"/>
        <v>0</v>
      </c>
    </row>
    <row r="281" spans="1:19">
      <c r="A281" s="160"/>
      <c r="B281" s="59"/>
      <c r="C281" s="24">
        <f t="shared" si="38"/>
        <v>1</v>
      </c>
      <c r="D281" s="720"/>
      <c r="E281" s="24">
        <f t="shared" si="39"/>
        <v>0.06</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7">
        <f t="shared" si="46"/>
        <v>0</v>
      </c>
      <c r="S281" s="362">
        <f t="shared" si="47"/>
        <v>0</v>
      </c>
    </row>
    <row r="282" spans="1:19">
      <c r="A282" s="160"/>
      <c r="B282" s="59"/>
      <c r="C282" s="24">
        <f t="shared" ref="C282:C345" si="48">IF(B282="",1,(LOOKUP(B282,$3:$3,$4:$4)-LOOKUP($B$24,$3:$3,$4:$4)+100)/100)</f>
        <v>1</v>
      </c>
      <c r="D282" s="720"/>
      <c r="E282" s="24">
        <f t="shared" ref="E282:E345" si="49">(SUMIF($5:$5,D282,$6:$6)-SUMIF($5:$5,$D$24,$6:$6)+100)/100</f>
        <v>0.06</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7">
        <f t="shared" ref="R282:R345" si="56">IF(B282="",0,ROUND($R$24*C282*E282*G282*I282*K282*M282*O282*Q282,0))</f>
        <v>0</v>
      </c>
      <c r="S282" s="362">
        <f t="shared" si="47"/>
        <v>0</v>
      </c>
    </row>
    <row r="283" spans="1:19">
      <c r="A283" s="160"/>
      <c r="B283" s="59"/>
      <c r="C283" s="24">
        <f t="shared" si="48"/>
        <v>1</v>
      </c>
      <c r="D283" s="720"/>
      <c r="E283" s="24">
        <f t="shared" si="49"/>
        <v>0.06</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7">
        <f t="shared" si="56"/>
        <v>0</v>
      </c>
      <c r="S283" s="362">
        <f t="shared" si="47"/>
        <v>0</v>
      </c>
    </row>
    <row r="284" spans="1:19">
      <c r="A284" s="160"/>
      <c r="B284" s="59"/>
      <c r="C284" s="24">
        <f t="shared" si="48"/>
        <v>1</v>
      </c>
      <c r="D284" s="720"/>
      <c r="E284" s="24">
        <f t="shared" si="49"/>
        <v>0.06</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7">
        <f t="shared" si="56"/>
        <v>0</v>
      </c>
      <c r="S284" s="362">
        <f t="shared" si="47"/>
        <v>0</v>
      </c>
    </row>
    <row r="285" spans="1:19">
      <c r="A285" s="160"/>
      <c r="B285" s="59"/>
      <c r="C285" s="24">
        <f t="shared" si="48"/>
        <v>1</v>
      </c>
      <c r="D285" s="720"/>
      <c r="E285" s="24">
        <f t="shared" si="49"/>
        <v>0.06</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7">
        <f t="shared" si="56"/>
        <v>0</v>
      </c>
      <c r="S285" s="362">
        <f t="shared" si="47"/>
        <v>0</v>
      </c>
    </row>
    <row r="286" spans="1:19">
      <c r="A286" s="160"/>
      <c r="B286" s="59"/>
      <c r="C286" s="24">
        <f t="shared" si="48"/>
        <v>1</v>
      </c>
      <c r="D286" s="720"/>
      <c r="E286" s="24">
        <f t="shared" si="49"/>
        <v>0.06</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7">
        <f t="shared" si="56"/>
        <v>0</v>
      </c>
      <c r="S286" s="362">
        <f t="shared" si="47"/>
        <v>0</v>
      </c>
    </row>
    <row r="287" spans="1:19">
      <c r="A287" s="160"/>
      <c r="B287" s="59"/>
      <c r="C287" s="24">
        <f t="shared" si="48"/>
        <v>1</v>
      </c>
      <c r="D287" s="720"/>
      <c r="E287" s="24">
        <f t="shared" si="49"/>
        <v>0.06</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7">
        <f t="shared" si="56"/>
        <v>0</v>
      </c>
      <c r="S287" s="362">
        <f t="shared" ref="S287:S320" si="57">ROUND(R287*B287/10000,0)</f>
        <v>0</v>
      </c>
    </row>
    <row r="288" spans="1:19">
      <c r="A288" s="160"/>
      <c r="B288" s="59"/>
      <c r="C288" s="24">
        <f t="shared" si="48"/>
        <v>1</v>
      </c>
      <c r="D288" s="720"/>
      <c r="E288" s="24">
        <f t="shared" si="49"/>
        <v>0.06</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7">
        <f t="shared" si="56"/>
        <v>0</v>
      </c>
      <c r="S288" s="362">
        <f t="shared" si="57"/>
        <v>0</v>
      </c>
    </row>
    <row r="289" spans="1:19">
      <c r="A289" s="160"/>
      <c r="B289" s="59"/>
      <c r="C289" s="24">
        <f t="shared" si="48"/>
        <v>1</v>
      </c>
      <c r="D289" s="720"/>
      <c r="E289" s="24">
        <f t="shared" si="49"/>
        <v>0.06</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7">
        <f t="shared" si="56"/>
        <v>0</v>
      </c>
      <c r="S289" s="362">
        <f t="shared" si="57"/>
        <v>0</v>
      </c>
    </row>
    <row r="290" spans="1:19">
      <c r="A290" s="160"/>
      <c r="B290" s="59"/>
      <c r="C290" s="24">
        <f t="shared" si="48"/>
        <v>1</v>
      </c>
      <c r="D290" s="720"/>
      <c r="E290" s="24">
        <f t="shared" si="49"/>
        <v>0.06</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7">
        <f t="shared" si="56"/>
        <v>0</v>
      </c>
      <c r="S290" s="362">
        <f t="shared" si="57"/>
        <v>0</v>
      </c>
    </row>
    <row r="291" spans="1:19">
      <c r="A291" s="160"/>
      <c r="B291" s="59"/>
      <c r="C291" s="24">
        <f t="shared" si="48"/>
        <v>1</v>
      </c>
      <c r="D291" s="720"/>
      <c r="E291" s="24">
        <f t="shared" si="49"/>
        <v>0.06</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7">
        <f t="shared" si="56"/>
        <v>0</v>
      </c>
      <c r="S291" s="362">
        <f t="shared" si="57"/>
        <v>0</v>
      </c>
    </row>
    <row r="292" spans="1:19">
      <c r="A292" s="160"/>
      <c r="B292" s="59"/>
      <c r="C292" s="24">
        <f t="shared" si="48"/>
        <v>1</v>
      </c>
      <c r="D292" s="720"/>
      <c r="E292" s="24">
        <f t="shared" si="49"/>
        <v>0.06</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7">
        <f t="shared" si="56"/>
        <v>0</v>
      </c>
      <c r="S292" s="362">
        <f t="shared" si="57"/>
        <v>0</v>
      </c>
    </row>
    <row r="293" spans="1:19">
      <c r="A293" s="160"/>
      <c r="B293" s="59"/>
      <c r="C293" s="24">
        <f t="shared" si="48"/>
        <v>1</v>
      </c>
      <c r="D293" s="720"/>
      <c r="E293" s="24">
        <f t="shared" si="49"/>
        <v>0.06</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7">
        <f t="shared" si="56"/>
        <v>0</v>
      </c>
      <c r="S293" s="362">
        <f t="shared" si="57"/>
        <v>0</v>
      </c>
    </row>
    <row r="294" spans="1:19">
      <c r="A294" s="160"/>
      <c r="B294" s="59"/>
      <c r="C294" s="24">
        <f t="shared" si="48"/>
        <v>1</v>
      </c>
      <c r="D294" s="720"/>
      <c r="E294" s="24">
        <f t="shared" si="49"/>
        <v>0.06</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7">
        <f t="shared" si="56"/>
        <v>0</v>
      </c>
      <c r="S294" s="362">
        <f t="shared" si="57"/>
        <v>0</v>
      </c>
    </row>
    <row r="295" spans="1:19">
      <c r="A295" s="160"/>
      <c r="B295" s="59"/>
      <c r="C295" s="24">
        <f t="shared" si="48"/>
        <v>1</v>
      </c>
      <c r="D295" s="720"/>
      <c r="E295" s="24">
        <f t="shared" si="49"/>
        <v>0.06</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7">
        <f t="shared" si="56"/>
        <v>0</v>
      </c>
      <c r="S295" s="362">
        <f t="shared" si="57"/>
        <v>0</v>
      </c>
    </row>
    <row r="296" spans="1:19">
      <c r="A296" s="160"/>
      <c r="B296" s="59"/>
      <c r="C296" s="24">
        <f t="shared" si="48"/>
        <v>1</v>
      </c>
      <c r="D296" s="720"/>
      <c r="E296" s="24">
        <f t="shared" si="49"/>
        <v>0.06</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7">
        <f t="shared" si="56"/>
        <v>0</v>
      </c>
      <c r="S296" s="362">
        <f t="shared" si="57"/>
        <v>0</v>
      </c>
    </row>
    <row r="297" spans="1:19">
      <c r="A297" s="160"/>
      <c r="B297" s="59"/>
      <c r="C297" s="24">
        <f t="shared" si="48"/>
        <v>1</v>
      </c>
      <c r="D297" s="720"/>
      <c r="E297" s="24">
        <f t="shared" si="49"/>
        <v>0.06</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7">
        <f t="shared" si="56"/>
        <v>0</v>
      </c>
      <c r="S297" s="362">
        <f t="shared" si="57"/>
        <v>0</v>
      </c>
    </row>
    <row r="298" spans="1:19">
      <c r="A298" s="160"/>
      <c r="B298" s="59"/>
      <c r="C298" s="24">
        <f t="shared" si="48"/>
        <v>1</v>
      </c>
      <c r="D298" s="720"/>
      <c r="E298" s="24">
        <f t="shared" si="49"/>
        <v>0.06</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7">
        <f t="shared" si="56"/>
        <v>0</v>
      </c>
      <c r="S298" s="362">
        <f t="shared" si="57"/>
        <v>0</v>
      </c>
    </row>
    <row r="299" spans="1:19">
      <c r="A299" s="160"/>
      <c r="B299" s="59"/>
      <c r="C299" s="24">
        <f t="shared" si="48"/>
        <v>1</v>
      </c>
      <c r="D299" s="720"/>
      <c r="E299" s="24">
        <f t="shared" si="49"/>
        <v>0.06</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7">
        <f t="shared" si="56"/>
        <v>0</v>
      </c>
      <c r="S299" s="362">
        <f t="shared" si="57"/>
        <v>0</v>
      </c>
    </row>
    <row r="300" spans="1:19">
      <c r="A300" s="160"/>
      <c r="B300" s="59"/>
      <c r="C300" s="24">
        <f t="shared" si="48"/>
        <v>1</v>
      </c>
      <c r="D300" s="720"/>
      <c r="E300" s="24">
        <f t="shared" si="49"/>
        <v>0.06</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7">
        <f t="shared" si="56"/>
        <v>0</v>
      </c>
      <c r="S300" s="362">
        <f t="shared" si="57"/>
        <v>0</v>
      </c>
    </row>
    <row r="301" spans="1:19">
      <c r="A301" s="160"/>
      <c r="B301" s="59"/>
      <c r="C301" s="24">
        <f t="shared" si="48"/>
        <v>1</v>
      </c>
      <c r="D301" s="720"/>
      <c r="E301" s="24">
        <f t="shared" si="49"/>
        <v>0.06</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7">
        <f t="shared" si="56"/>
        <v>0</v>
      </c>
      <c r="S301" s="362">
        <f t="shared" si="57"/>
        <v>0</v>
      </c>
    </row>
    <row r="302" spans="1:19">
      <c r="A302" s="160"/>
      <c r="B302" s="59"/>
      <c r="C302" s="24">
        <f t="shared" si="48"/>
        <v>1</v>
      </c>
      <c r="D302" s="720"/>
      <c r="E302" s="24">
        <f t="shared" si="49"/>
        <v>0.06</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7">
        <f t="shared" si="56"/>
        <v>0</v>
      </c>
      <c r="S302" s="362">
        <f t="shared" si="57"/>
        <v>0</v>
      </c>
    </row>
    <row r="303" spans="1:19">
      <c r="A303" s="160"/>
      <c r="B303" s="59"/>
      <c r="C303" s="24">
        <f t="shared" si="48"/>
        <v>1</v>
      </c>
      <c r="D303" s="720"/>
      <c r="E303" s="24">
        <f t="shared" si="49"/>
        <v>0.06</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7">
        <f t="shared" si="56"/>
        <v>0</v>
      </c>
      <c r="S303" s="362">
        <f t="shared" si="57"/>
        <v>0</v>
      </c>
    </row>
    <row r="304" spans="1:19">
      <c r="A304" s="160"/>
      <c r="B304" s="59"/>
      <c r="C304" s="24">
        <f t="shared" si="48"/>
        <v>1</v>
      </c>
      <c r="D304" s="720"/>
      <c r="E304" s="24">
        <f t="shared" si="49"/>
        <v>0.06</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7">
        <f t="shared" si="56"/>
        <v>0</v>
      </c>
      <c r="S304" s="362">
        <f t="shared" si="57"/>
        <v>0</v>
      </c>
    </row>
    <row r="305" spans="1:19">
      <c r="A305" s="160"/>
      <c r="B305" s="59"/>
      <c r="C305" s="24">
        <f t="shared" si="48"/>
        <v>1</v>
      </c>
      <c r="D305" s="720"/>
      <c r="E305" s="24">
        <f t="shared" si="49"/>
        <v>0.06</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7">
        <f t="shared" si="56"/>
        <v>0</v>
      </c>
      <c r="S305" s="362">
        <f t="shared" si="57"/>
        <v>0</v>
      </c>
    </row>
    <row r="306" spans="1:19">
      <c r="A306" s="160"/>
      <c r="B306" s="59"/>
      <c r="C306" s="24">
        <f t="shared" si="48"/>
        <v>1</v>
      </c>
      <c r="D306" s="720"/>
      <c r="E306" s="24">
        <f t="shared" si="49"/>
        <v>0.06</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7">
        <f t="shared" si="56"/>
        <v>0</v>
      </c>
      <c r="S306" s="362">
        <f t="shared" si="57"/>
        <v>0</v>
      </c>
    </row>
    <row r="307" spans="1:19">
      <c r="A307" s="160"/>
      <c r="B307" s="59"/>
      <c r="C307" s="24">
        <f t="shared" si="48"/>
        <v>1</v>
      </c>
      <c r="D307" s="720"/>
      <c r="E307" s="24">
        <f t="shared" si="49"/>
        <v>0.06</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7">
        <f t="shared" si="56"/>
        <v>0</v>
      </c>
      <c r="S307" s="362">
        <f t="shared" si="57"/>
        <v>0</v>
      </c>
    </row>
    <row r="308" spans="1:19">
      <c r="A308" s="160"/>
      <c r="B308" s="59"/>
      <c r="C308" s="24">
        <f t="shared" si="48"/>
        <v>1</v>
      </c>
      <c r="D308" s="720"/>
      <c r="E308" s="24">
        <f t="shared" si="49"/>
        <v>0.06</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7">
        <f t="shared" si="56"/>
        <v>0</v>
      </c>
      <c r="S308" s="362">
        <f t="shared" si="57"/>
        <v>0</v>
      </c>
    </row>
    <row r="309" spans="1:19">
      <c r="A309" s="160"/>
      <c r="B309" s="59"/>
      <c r="C309" s="24">
        <f t="shared" si="48"/>
        <v>1</v>
      </c>
      <c r="D309" s="720"/>
      <c r="E309" s="24">
        <f t="shared" si="49"/>
        <v>0.06</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7">
        <f t="shared" si="56"/>
        <v>0</v>
      </c>
      <c r="S309" s="362">
        <f t="shared" si="57"/>
        <v>0</v>
      </c>
    </row>
    <row r="310" spans="1:19">
      <c r="A310" s="160"/>
      <c r="B310" s="59"/>
      <c r="C310" s="24">
        <f t="shared" si="48"/>
        <v>1</v>
      </c>
      <c r="D310" s="720"/>
      <c r="E310" s="24">
        <f t="shared" si="49"/>
        <v>0.06</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7">
        <f t="shared" si="56"/>
        <v>0</v>
      </c>
      <c r="S310" s="362">
        <f t="shared" si="57"/>
        <v>0</v>
      </c>
    </row>
    <row r="311" spans="1:19">
      <c r="A311" s="160"/>
      <c r="B311" s="59"/>
      <c r="C311" s="24">
        <f t="shared" si="48"/>
        <v>1</v>
      </c>
      <c r="D311" s="720"/>
      <c r="E311" s="24">
        <f t="shared" si="49"/>
        <v>0.06</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7">
        <f t="shared" si="56"/>
        <v>0</v>
      </c>
      <c r="S311" s="362">
        <f t="shared" si="57"/>
        <v>0</v>
      </c>
    </row>
    <row r="312" spans="1:19">
      <c r="A312" s="160"/>
      <c r="B312" s="59"/>
      <c r="C312" s="24">
        <f t="shared" si="48"/>
        <v>1</v>
      </c>
      <c r="D312" s="720"/>
      <c r="E312" s="24">
        <f t="shared" si="49"/>
        <v>0.06</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7">
        <f t="shared" si="56"/>
        <v>0</v>
      </c>
      <c r="S312" s="362">
        <f t="shared" si="57"/>
        <v>0</v>
      </c>
    </row>
    <row r="313" spans="1:19">
      <c r="A313" s="160"/>
      <c r="B313" s="59"/>
      <c r="C313" s="24">
        <f t="shared" si="48"/>
        <v>1</v>
      </c>
      <c r="D313" s="720"/>
      <c r="E313" s="24">
        <f t="shared" si="49"/>
        <v>0.06</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7">
        <f t="shared" si="56"/>
        <v>0</v>
      </c>
      <c r="S313" s="362">
        <f t="shared" si="57"/>
        <v>0</v>
      </c>
    </row>
    <row r="314" spans="1:19">
      <c r="A314" s="160"/>
      <c r="B314" s="59"/>
      <c r="C314" s="24">
        <f t="shared" si="48"/>
        <v>1</v>
      </c>
      <c r="D314" s="720"/>
      <c r="E314" s="24">
        <f t="shared" si="49"/>
        <v>0.06</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7">
        <f t="shared" si="56"/>
        <v>0</v>
      </c>
      <c r="S314" s="362">
        <f t="shared" si="57"/>
        <v>0</v>
      </c>
    </row>
    <row r="315" spans="1:19">
      <c r="A315" s="160"/>
      <c r="B315" s="59"/>
      <c r="C315" s="24">
        <f t="shared" si="48"/>
        <v>1</v>
      </c>
      <c r="D315" s="720"/>
      <c r="E315" s="24">
        <f t="shared" si="49"/>
        <v>0.06</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7">
        <f t="shared" si="56"/>
        <v>0</v>
      </c>
      <c r="S315" s="362">
        <f t="shared" si="57"/>
        <v>0</v>
      </c>
    </row>
    <row r="316" spans="1:19">
      <c r="A316" s="160"/>
      <c r="B316" s="59"/>
      <c r="C316" s="24">
        <f t="shared" si="48"/>
        <v>1</v>
      </c>
      <c r="D316" s="720"/>
      <c r="E316" s="24">
        <f t="shared" si="49"/>
        <v>0.06</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7">
        <f t="shared" si="56"/>
        <v>0</v>
      </c>
      <c r="S316" s="362">
        <f t="shared" si="57"/>
        <v>0</v>
      </c>
    </row>
    <row r="317" spans="1:19">
      <c r="A317" s="160"/>
      <c r="B317" s="59"/>
      <c r="C317" s="24">
        <f t="shared" si="48"/>
        <v>1</v>
      </c>
      <c r="D317" s="720"/>
      <c r="E317" s="24">
        <f t="shared" si="49"/>
        <v>0.06</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7">
        <f t="shared" si="56"/>
        <v>0</v>
      </c>
      <c r="S317" s="362">
        <f t="shared" si="57"/>
        <v>0</v>
      </c>
    </row>
    <row r="318" spans="1:19">
      <c r="A318" s="160"/>
      <c r="B318" s="59"/>
      <c r="C318" s="24">
        <f t="shared" si="48"/>
        <v>1</v>
      </c>
      <c r="D318" s="720"/>
      <c r="E318" s="24">
        <f t="shared" si="49"/>
        <v>0.06</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7">
        <f t="shared" si="56"/>
        <v>0</v>
      </c>
      <c r="S318" s="362">
        <f t="shared" si="57"/>
        <v>0</v>
      </c>
    </row>
    <row r="319" spans="1:19">
      <c r="A319" s="160"/>
      <c r="B319" s="59"/>
      <c r="C319" s="24">
        <f t="shared" si="48"/>
        <v>1</v>
      </c>
      <c r="D319" s="720"/>
      <c r="E319" s="24">
        <f t="shared" si="49"/>
        <v>0.06</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7">
        <f t="shared" si="56"/>
        <v>0</v>
      </c>
      <c r="S319" s="362">
        <f t="shared" si="57"/>
        <v>0</v>
      </c>
    </row>
    <row r="320" spans="1:19">
      <c r="A320" s="160"/>
      <c r="B320" s="59"/>
      <c r="C320" s="24">
        <f t="shared" si="48"/>
        <v>1</v>
      </c>
      <c r="D320" s="720"/>
      <c r="E320" s="24">
        <f t="shared" si="49"/>
        <v>0.06</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7">
        <f t="shared" si="56"/>
        <v>0</v>
      </c>
      <c r="S320" s="362">
        <f t="shared" si="57"/>
        <v>0</v>
      </c>
    </row>
    <row r="321" spans="1:19">
      <c r="A321" s="160"/>
      <c r="B321" s="59"/>
      <c r="C321" s="24">
        <f t="shared" si="48"/>
        <v>1</v>
      </c>
      <c r="D321" s="720"/>
      <c r="E321" s="24">
        <f t="shared" si="49"/>
        <v>0.06</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7">
        <f t="shared" si="56"/>
        <v>0</v>
      </c>
      <c r="S321" s="362">
        <f t="shared" ref="S321:S384" si="58">ROUND(R321*B321/10000,0)</f>
        <v>0</v>
      </c>
    </row>
    <row r="322" spans="1:19">
      <c r="A322" s="160"/>
      <c r="B322" s="59"/>
      <c r="C322" s="24">
        <f t="shared" si="48"/>
        <v>1</v>
      </c>
      <c r="D322" s="720"/>
      <c r="E322" s="24">
        <f t="shared" si="49"/>
        <v>0.06</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7">
        <f t="shared" si="56"/>
        <v>0</v>
      </c>
      <c r="S322" s="362">
        <f t="shared" si="58"/>
        <v>0</v>
      </c>
    </row>
    <row r="323" spans="1:19">
      <c r="A323" s="160"/>
      <c r="B323" s="59"/>
      <c r="C323" s="24">
        <f t="shared" si="48"/>
        <v>1</v>
      </c>
      <c r="D323" s="720"/>
      <c r="E323" s="24">
        <f t="shared" si="49"/>
        <v>0.06</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7">
        <f t="shared" si="56"/>
        <v>0</v>
      </c>
      <c r="S323" s="362">
        <f t="shared" si="58"/>
        <v>0</v>
      </c>
    </row>
    <row r="324" spans="1:19">
      <c r="A324" s="160"/>
      <c r="B324" s="59"/>
      <c r="C324" s="24">
        <f t="shared" si="48"/>
        <v>1</v>
      </c>
      <c r="D324" s="720"/>
      <c r="E324" s="24">
        <f t="shared" si="49"/>
        <v>0.06</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7">
        <f t="shared" si="56"/>
        <v>0</v>
      </c>
      <c r="S324" s="362">
        <f t="shared" si="58"/>
        <v>0</v>
      </c>
    </row>
    <row r="325" spans="1:19">
      <c r="A325" s="160"/>
      <c r="B325" s="59"/>
      <c r="C325" s="24">
        <f t="shared" si="48"/>
        <v>1</v>
      </c>
      <c r="D325" s="720"/>
      <c r="E325" s="24">
        <f t="shared" si="49"/>
        <v>0.06</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7">
        <f t="shared" si="56"/>
        <v>0</v>
      </c>
      <c r="S325" s="362">
        <f t="shared" si="58"/>
        <v>0</v>
      </c>
    </row>
    <row r="326" spans="1:19">
      <c r="A326" s="160"/>
      <c r="B326" s="59"/>
      <c r="C326" s="24">
        <f t="shared" si="48"/>
        <v>1</v>
      </c>
      <c r="D326" s="720"/>
      <c r="E326" s="24">
        <f t="shared" si="49"/>
        <v>0.06</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7">
        <f t="shared" si="56"/>
        <v>0</v>
      </c>
      <c r="S326" s="362">
        <f t="shared" si="58"/>
        <v>0</v>
      </c>
    </row>
    <row r="327" spans="1:19">
      <c r="A327" s="160"/>
      <c r="B327" s="59"/>
      <c r="C327" s="24">
        <f t="shared" si="48"/>
        <v>1</v>
      </c>
      <c r="D327" s="720"/>
      <c r="E327" s="24">
        <f t="shared" si="49"/>
        <v>0.06</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7">
        <f t="shared" si="56"/>
        <v>0</v>
      </c>
      <c r="S327" s="362">
        <f t="shared" si="58"/>
        <v>0</v>
      </c>
    </row>
    <row r="328" spans="1:19">
      <c r="A328" s="160"/>
      <c r="B328" s="59"/>
      <c r="C328" s="24">
        <f t="shared" si="48"/>
        <v>1</v>
      </c>
      <c r="D328" s="720"/>
      <c r="E328" s="24">
        <f t="shared" si="49"/>
        <v>0.06</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7">
        <f t="shared" si="56"/>
        <v>0</v>
      </c>
      <c r="S328" s="362">
        <f t="shared" si="58"/>
        <v>0</v>
      </c>
    </row>
    <row r="329" spans="1:19">
      <c r="A329" s="160"/>
      <c r="B329" s="59"/>
      <c r="C329" s="24">
        <f t="shared" si="48"/>
        <v>1</v>
      </c>
      <c r="D329" s="720"/>
      <c r="E329" s="24">
        <f t="shared" si="49"/>
        <v>0.06</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7">
        <f t="shared" si="56"/>
        <v>0</v>
      </c>
      <c r="S329" s="362">
        <f t="shared" si="58"/>
        <v>0</v>
      </c>
    </row>
    <row r="330" spans="1:19">
      <c r="A330" s="160"/>
      <c r="B330" s="59"/>
      <c r="C330" s="24">
        <f t="shared" si="48"/>
        <v>1</v>
      </c>
      <c r="D330" s="720"/>
      <c r="E330" s="24">
        <f t="shared" si="49"/>
        <v>0.06</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7">
        <f t="shared" si="56"/>
        <v>0</v>
      </c>
      <c r="S330" s="362">
        <f t="shared" si="58"/>
        <v>0</v>
      </c>
    </row>
    <row r="331" spans="1:19">
      <c r="A331" s="160"/>
      <c r="B331" s="59"/>
      <c r="C331" s="24">
        <f t="shared" si="48"/>
        <v>1</v>
      </c>
      <c r="D331" s="720"/>
      <c r="E331" s="24">
        <f t="shared" si="49"/>
        <v>0.06</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7">
        <f t="shared" si="56"/>
        <v>0</v>
      </c>
      <c r="S331" s="362">
        <f t="shared" si="58"/>
        <v>0</v>
      </c>
    </row>
    <row r="332" spans="1:19">
      <c r="A332" s="160"/>
      <c r="B332" s="59"/>
      <c r="C332" s="24">
        <f t="shared" si="48"/>
        <v>1</v>
      </c>
      <c r="D332" s="720"/>
      <c r="E332" s="24">
        <f t="shared" si="49"/>
        <v>0.06</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7">
        <f t="shared" si="56"/>
        <v>0</v>
      </c>
      <c r="S332" s="362">
        <f t="shared" si="58"/>
        <v>0</v>
      </c>
    </row>
    <row r="333" spans="1:19">
      <c r="A333" s="160"/>
      <c r="B333" s="59"/>
      <c r="C333" s="24">
        <f t="shared" si="48"/>
        <v>1</v>
      </c>
      <c r="D333" s="720"/>
      <c r="E333" s="24">
        <f t="shared" si="49"/>
        <v>0.06</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7">
        <f t="shared" si="56"/>
        <v>0</v>
      </c>
      <c r="S333" s="362">
        <f t="shared" si="58"/>
        <v>0</v>
      </c>
    </row>
    <row r="334" spans="1:19">
      <c r="A334" s="160"/>
      <c r="B334" s="59"/>
      <c r="C334" s="24">
        <f t="shared" si="48"/>
        <v>1</v>
      </c>
      <c r="D334" s="720"/>
      <c r="E334" s="24">
        <f t="shared" si="49"/>
        <v>0.06</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7">
        <f t="shared" si="56"/>
        <v>0</v>
      </c>
      <c r="S334" s="362">
        <f t="shared" si="58"/>
        <v>0</v>
      </c>
    </row>
    <row r="335" spans="1:19">
      <c r="A335" s="160"/>
      <c r="B335" s="59"/>
      <c r="C335" s="24">
        <f t="shared" si="48"/>
        <v>1</v>
      </c>
      <c r="D335" s="720"/>
      <c r="E335" s="24">
        <f t="shared" si="49"/>
        <v>0.06</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7">
        <f t="shared" si="56"/>
        <v>0</v>
      </c>
      <c r="S335" s="362">
        <f t="shared" si="58"/>
        <v>0</v>
      </c>
    </row>
    <row r="336" spans="1:19">
      <c r="A336" s="160"/>
      <c r="B336" s="59"/>
      <c r="C336" s="24">
        <f t="shared" si="48"/>
        <v>1</v>
      </c>
      <c r="D336" s="720"/>
      <c r="E336" s="24">
        <f t="shared" si="49"/>
        <v>0.06</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7">
        <f t="shared" si="56"/>
        <v>0</v>
      </c>
      <c r="S336" s="362">
        <f t="shared" si="58"/>
        <v>0</v>
      </c>
    </row>
    <row r="337" spans="1:19">
      <c r="A337" s="160"/>
      <c r="B337" s="59"/>
      <c r="C337" s="24">
        <f t="shared" si="48"/>
        <v>1</v>
      </c>
      <c r="D337" s="720"/>
      <c r="E337" s="24">
        <f t="shared" si="49"/>
        <v>0.06</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7">
        <f t="shared" si="56"/>
        <v>0</v>
      </c>
      <c r="S337" s="362">
        <f t="shared" si="58"/>
        <v>0</v>
      </c>
    </row>
    <row r="338" spans="1:19">
      <c r="A338" s="160"/>
      <c r="B338" s="59"/>
      <c r="C338" s="24">
        <f t="shared" si="48"/>
        <v>1</v>
      </c>
      <c r="D338" s="720"/>
      <c r="E338" s="24">
        <f t="shared" si="49"/>
        <v>0.06</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7">
        <f t="shared" si="56"/>
        <v>0</v>
      </c>
      <c r="S338" s="362">
        <f t="shared" si="58"/>
        <v>0</v>
      </c>
    </row>
    <row r="339" spans="1:19">
      <c r="A339" s="160"/>
      <c r="B339" s="59"/>
      <c r="C339" s="24">
        <f t="shared" si="48"/>
        <v>1</v>
      </c>
      <c r="D339" s="720"/>
      <c r="E339" s="24">
        <f t="shared" si="49"/>
        <v>0.06</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7">
        <f t="shared" si="56"/>
        <v>0</v>
      </c>
      <c r="S339" s="362">
        <f t="shared" si="58"/>
        <v>0</v>
      </c>
    </row>
    <row r="340" spans="1:19">
      <c r="A340" s="160"/>
      <c r="B340" s="59"/>
      <c r="C340" s="24">
        <f t="shared" si="48"/>
        <v>1</v>
      </c>
      <c r="D340" s="720"/>
      <c r="E340" s="24">
        <f t="shared" si="49"/>
        <v>0.06</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7">
        <f t="shared" si="56"/>
        <v>0</v>
      </c>
      <c r="S340" s="362">
        <f t="shared" si="58"/>
        <v>0</v>
      </c>
    </row>
    <row r="341" spans="1:19">
      <c r="A341" s="160"/>
      <c r="B341" s="59"/>
      <c r="C341" s="24">
        <f t="shared" si="48"/>
        <v>1</v>
      </c>
      <c r="D341" s="720"/>
      <c r="E341" s="24">
        <f t="shared" si="49"/>
        <v>0.06</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7">
        <f t="shared" si="56"/>
        <v>0</v>
      </c>
      <c r="S341" s="362">
        <f t="shared" si="58"/>
        <v>0</v>
      </c>
    </row>
    <row r="342" spans="1:19">
      <c r="A342" s="160"/>
      <c r="B342" s="59"/>
      <c r="C342" s="24">
        <f t="shared" si="48"/>
        <v>1</v>
      </c>
      <c r="D342" s="720"/>
      <c r="E342" s="24">
        <f t="shared" si="49"/>
        <v>0.06</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7">
        <f t="shared" si="56"/>
        <v>0</v>
      </c>
      <c r="S342" s="362">
        <f t="shared" si="58"/>
        <v>0</v>
      </c>
    </row>
    <row r="343" spans="1:19">
      <c r="A343" s="160"/>
      <c r="B343" s="59"/>
      <c r="C343" s="24">
        <f t="shared" si="48"/>
        <v>1</v>
      </c>
      <c r="D343" s="720"/>
      <c r="E343" s="24">
        <f t="shared" si="49"/>
        <v>0.06</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7">
        <f t="shared" si="56"/>
        <v>0</v>
      </c>
      <c r="S343" s="362">
        <f t="shared" si="58"/>
        <v>0</v>
      </c>
    </row>
    <row r="344" spans="1:19">
      <c r="A344" s="160"/>
      <c r="B344" s="59"/>
      <c r="C344" s="24">
        <f t="shared" si="48"/>
        <v>1</v>
      </c>
      <c r="D344" s="720"/>
      <c r="E344" s="24">
        <f t="shared" si="49"/>
        <v>0.06</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7">
        <f t="shared" si="56"/>
        <v>0</v>
      </c>
      <c r="S344" s="362">
        <f t="shared" si="58"/>
        <v>0</v>
      </c>
    </row>
    <row r="345" spans="1:19">
      <c r="A345" s="160"/>
      <c r="B345" s="59"/>
      <c r="C345" s="24">
        <f t="shared" si="48"/>
        <v>1</v>
      </c>
      <c r="D345" s="720"/>
      <c r="E345" s="24">
        <f t="shared" si="49"/>
        <v>0.06</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7">
        <f t="shared" si="56"/>
        <v>0</v>
      </c>
      <c r="S345" s="362">
        <f t="shared" si="58"/>
        <v>0</v>
      </c>
    </row>
    <row r="346" spans="1:19">
      <c r="A346" s="160"/>
      <c r="B346" s="59"/>
      <c r="C346" s="24">
        <f t="shared" ref="C346:C409" si="59">IF(B346="",1,(LOOKUP(B346,$3:$3,$4:$4)-LOOKUP($B$24,$3:$3,$4:$4)+100)/100)</f>
        <v>1</v>
      </c>
      <c r="D346" s="720"/>
      <c r="E346" s="24">
        <f t="shared" ref="E346:E409" si="60">(SUMIF($5:$5,D346,$6:$6)-SUMIF($5:$5,$D$24,$6:$6)+100)/100</f>
        <v>0.06</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7">
        <f t="shared" ref="R346:R409" si="67">IF(B346="",0,ROUND($R$24*C346*E346*G346*I346*K346*M346*O346*Q346,0))</f>
        <v>0</v>
      </c>
      <c r="S346" s="362">
        <f t="shared" si="58"/>
        <v>0</v>
      </c>
    </row>
    <row r="347" spans="1:19">
      <c r="A347" s="160"/>
      <c r="B347" s="59"/>
      <c r="C347" s="24">
        <f t="shared" si="59"/>
        <v>1</v>
      </c>
      <c r="D347" s="720"/>
      <c r="E347" s="24">
        <f t="shared" si="60"/>
        <v>0.06</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7">
        <f t="shared" si="67"/>
        <v>0</v>
      </c>
      <c r="S347" s="362">
        <f t="shared" si="58"/>
        <v>0</v>
      </c>
    </row>
    <row r="348" spans="1:19">
      <c r="A348" s="160"/>
      <c r="B348" s="59"/>
      <c r="C348" s="24">
        <f t="shared" si="59"/>
        <v>1</v>
      </c>
      <c r="D348" s="720"/>
      <c r="E348" s="24">
        <f t="shared" si="60"/>
        <v>0.06</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7">
        <f t="shared" si="67"/>
        <v>0</v>
      </c>
      <c r="S348" s="362">
        <f t="shared" si="58"/>
        <v>0</v>
      </c>
    </row>
    <row r="349" spans="1:19">
      <c r="A349" s="160"/>
      <c r="B349" s="59"/>
      <c r="C349" s="24">
        <f t="shared" si="59"/>
        <v>1</v>
      </c>
      <c r="D349" s="720"/>
      <c r="E349" s="24">
        <f t="shared" si="60"/>
        <v>0.06</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7">
        <f t="shared" si="67"/>
        <v>0</v>
      </c>
      <c r="S349" s="362">
        <f t="shared" si="58"/>
        <v>0</v>
      </c>
    </row>
    <row r="350" spans="1:19">
      <c r="A350" s="160"/>
      <c r="B350" s="59"/>
      <c r="C350" s="24">
        <f t="shared" si="59"/>
        <v>1</v>
      </c>
      <c r="D350" s="720"/>
      <c r="E350" s="24">
        <f t="shared" si="60"/>
        <v>0.06</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7">
        <f t="shared" si="67"/>
        <v>0</v>
      </c>
      <c r="S350" s="362">
        <f t="shared" si="58"/>
        <v>0</v>
      </c>
    </row>
    <row r="351" spans="1:19">
      <c r="A351" s="160"/>
      <c r="B351" s="59"/>
      <c r="C351" s="24">
        <f t="shared" si="59"/>
        <v>1</v>
      </c>
      <c r="D351" s="720"/>
      <c r="E351" s="24">
        <f t="shared" si="60"/>
        <v>0.06</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7">
        <f t="shared" si="67"/>
        <v>0</v>
      </c>
      <c r="S351" s="362">
        <f t="shared" si="58"/>
        <v>0</v>
      </c>
    </row>
    <row r="352" spans="1:19">
      <c r="A352" s="160"/>
      <c r="B352" s="59"/>
      <c r="C352" s="24">
        <f t="shared" si="59"/>
        <v>1</v>
      </c>
      <c r="D352" s="720"/>
      <c r="E352" s="24">
        <f t="shared" si="60"/>
        <v>0.06</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7">
        <f t="shared" si="67"/>
        <v>0</v>
      </c>
      <c r="S352" s="362">
        <f t="shared" si="58"/>
        <v>0</v>
      </c>
    </row>
    <row r="353" spans="1:19">
      <c r="A353" s="160"/>
      <c r="B353" s="59"/>
      <c r="C353" s="24">
        <f t="shared" si="59"/>
        <v>1</v>
      </c>
      <c r="D353" s="720"/>
      <c r="E353" s="24">
        <f t="shared" si="60"/>
        <v>0.06</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7">
        <f t="shared" si="67"/>
        <v>0</v>
      </c>
      <c r="S353" s="362">
        <f t="shared" si="58"/>
        <v>0</v>
      </c>
    </row>
    <row r="354" spans="1:19">
      <c r="A354" s="160"/>
      <c r="B354" s="59"/>
      <c r="C354" s="24">
        <f t="shared" si="59"/>
        <v>1</v>
      </c>
      <c r="D354" s="720"/>
      <c r="E354" s="24">
        <f t="shared" si="60"/>
        <v>0.06</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7">
        <f t="shared" si="67"/>
        <v>0</v>
      </c>
      <c r="S354" s="362">
        <f t="shared" si="58"/>
        <v>0</v>
      </c>
    </row>
    <row r="355" spans="1:19">
      <c r="A355" s="160"/>
      <c r="B355" s="59"/>
      <c r="C355" s="24">
        <f t="shared" si="59"/>
        <v>1</v>
      </c>
      <c r="D355" s="720"/>
      <c r="E355" s="24">
        <f t="shared" si="60"/>
        <v>0.06</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7">
        <f t="shared" si="67"/>
        <v>0</v>
      </c>
      <c r="S355" s="362">
        <f t="shared" si="58"/>
        <v>0</v>
      </c>
    </row>
    <row r="356" spans="1:19">
      <c r="A356" s="160"/>
      <c r="B356" s="59"/>
      <c r="C356" s="24">
        <f t="shared" si="59"/>
        <v>1</v>
      </c>
      <c r="D356" s="720"/>
      <c r="E356" s="24">
        <f t="shared" si="60"/>
        <v>0.06</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7">
        <f t="shared" si="67"/>
        <v>0</v>
      </c>
      <c r="S356" s="362">
        <f t="shared" si="58"/>
        <v>0</v>
      </c>
    </row>
    <row r="357" spans="1:19">
      <c r="A357" s="160"/>
      <c r="B357" s="59"/>
      <c r="C357" s="24">
        <f t="shared" si="59"/>
        <v>1</v>
      </c>
      <c r="D357" s="720"/>
      <c r="E357" s="24">
        <f t="shared" si="60"/>
        <v>0.06</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7">
        <f t="shared" si="67"/>
        <v>0</v>
      </c>
      <c r="S357" s="362">
        <f t="shared" si="58"/>
        <v>0</v>
      </c>
    </row>
    <row r="358" spans="1:19">
      <c r="A358" s="160"/>
      <c r="B358" s="59"/>
      <c r="C358" s="24">
        <f t="shared" si="59"/>
        <v>1</v>
      </c>
      <c r="D358" s="720"/>
      <c r="E358" s="24">
        <f t="shared" si="60"/>
        <v>0.06</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7">
        <f t="shared" si="67"/>
        <v>0</v>
      </c>
      <c r="S358" s="362">
        <f t="shared" si="58"/>
        <v>0</v>
      </c>
    </row>
    <row r="359" spans="1:19">
      <c r="A359" s="160"/>
      <c r="B359" s="59"/>
      <c r="C359" s="24">
        <f t="shared" si="59"/>
        <v>1</v>
      </c>
      <c r="D359" s="720"/>
      <c r="E359" s="24">
        <f t="shared" si="60"/>
        <v>0.06</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7">
        <f t="shared" si="67"/>
        <v>0</v>
      </c>
      <c r="S359" s="362">
        <f t="shared" si="58"/>
        <v>0</v>
      </c>
    </row>
    <row r="360" spans="1:19">
      <c r="A360" s="160"/>
      <c r="B360" s="59"/>
      <c r="C360" s="24">
        <f t="shared" si="59"/>
        <v>1</v>
      </c>
      <c r="D360" s="720"/>
      <c r="E360" s="24">
        <f t="shared" si="60"/>
        <v>0.06</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7">
        <f t="shared" si="67"/>
        <v>0</v>
      </c>
      <c r="S360" s="362">
        <f t="shared" si="58"/>
        <v>0</v>
      </c>
    </row>
    <row r="361" spans="1:19">
      <c r="A361" s="160"/>
      <c r="B361" s="59"/>
      <c r="C361" s="24">
        <f t="shared" si="59"/>
        <v>1</v>
      </c>
      <c r="D361" s="720"/>
      <c r="E361" s="24">
        <f t="shared" si="60"/>
        <v>0.06</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7">
        <f t="shared" si="67"/>
        <v>0</v>
      </c>
      <c r="S361" s="362">
        <f t="shared" si="58"/>
        <v>0</v>
      </c>
    </row>
    <row r="362" spans="1:19">
      <c r="A362" s="160"/>
      <c r="B362" s="59"/>
      <c r="C362" s="24">
        <f t="shared" si="59"/>
        <v>1</v>
      </c>
      <c r="D362" s="720"/>
      <c r="E362" s="24">
        <f t="shared" si="60"/>
        <v>0.06</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7">
        <f t="shared" si="67"/>
        <v>0</v>
      </c>
      <c r="S362" s="362">
        <f t="shared" si="58"/>
        <v>0</v>
      </c>
    </row>
    <row r="363" spans="1:19">
      <c r="A363" s="160"/>
      <c r="B363" s="59"/>
      <c r="C363" s="24">
        <f t="shared" si="59"/>
        <v>1</v>
      </c>
      <c r="D363" s="720"/>
      <c r="E363" s="24">
        <f t="shared" si="60"/>
        <v>0.06</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7">
        <f t="shared" si="67"/>
        <v>0</v>
      </c>
      <c r="S363" s="362">
        <f t="shared" si="58"/>
        <v>0</v>
      </c>
    </row>
    <row r="364" spans="1:19">
      <c r="A364" s="160"/>
      <c r="B364" s="59"/>
      <c r="C364" s="24">
        <f t="shared" si="59"/>
        <v>1</v>
      </c>
      <c r="D364" s="720"/>
      <c r="E364" s="24">
        <f t="shared" si="60"/>
        <v>0.06</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7">
        <f t="shared" si="67"/>
        <v>0</v>
      </c>
      <c r="S364" s="362">
        <f t="shared" si="58"/>
        <v>0</v>
      </c>
    </row>
    <row r="365" spans="1:19">
      <c r="A365" s="160"/>
      <c r="B365" s="59"/>
      <c r="C365" s="24">
        <f t="shared" si="59"/>
        <v>1</v>
      </c>
      <c r="D365" s="720"/>
      <c r="E365" s="24">
        <f t="shared" si="60"/>
        <v>0.06</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7">
        <f t="shared" si="67"/>
        <v>0</v>
      </c>
      <c r="S365" s="362">
        <f t="shared" si="58"/>
        <v>0</v>
      </c>
    </row>
    <row r="366" spans="1:19">
      <c r="A366" s="160"/>
      <c r="B366" s="59"/>
      <c r="C366" s="24">
        <f t="shared" si="59"/>
        <v>1</v>
      </c>
      <c r="D366" s="720"/>
      <c r="E366" s="24">
        <f t="shared" si="60"/>
        <v>0.06</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7">
        <f t="shared" si="67"/>
        <v>0</v>
      </c>
      <c r="S366" s="362">
        <f t="shared" si="58"/>
        <v>0</v>
      </c>
    </row>
    <row r="367" spans="1:19">
      <c r="A367" s="160"/>
      <c r="B367" s="59"/>
      <c r="C367" s="24">
        <f t="shared" si="59"/>
        <v>1</v>
      </c>
      <c r="D367" s="720"/>
      <c r="E367" s="24">
        <f t="shared" si="60"/>
        <v>0.06</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7">
        <f t="shared" si="67"/>
        <v>0</v>
      </c>
      <c r="S367" s="362">
        <f t="shared" si="58"/>
        <v>0</v>
      </c>
    </row>
    <row r="368" spans="1:19">
      <c r="A368" s="160"/>
      <c r="B368" s="59"/>
      <c r="C368" s="24">
        <f t="shared" si="59"/>
        <v>1</v>
      </c>
      <c r="D368" s="720"/>
      <c r="E368" s="24">
        <f t="shared" si="60"/>
        <v>0.06</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7">
        <f t="shared" si="67"/>
        <v>0</v>
      </c>
      <c r="S368" s="362">
        <f t="shared" si="58"/>
        <v>0</v>
      </c>
    </row>
    <row r="369" spans="1:19">
      <c r="A369" s="160"/>
      <c r="B369" s="59"/>
      <c r="C369" s="24">
        <f t="shared" si="59"/>
        <v>1</v>
      </c>
      <c r="D369" s="720"/>
      <c r="E369" s="24">
        <f t="shared" si="60"/>
        <v>0.06</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7">
        <f t="shared" si="67"/>
        <v>0</v>
      </c>
      <c r="S369" s="362">
        <f t="shared" si="58"/>
        <v>0</v>
      </c>
    </row>
    <row r="370" spans="1:19">
      <c r="A370" s="160"/>
      <c r="B370" s="59"/>
      <c r="C370" s="24">
        <f t="shared" si="59"/>
        <v>1</v>
      </c>
      <c r="D370" s="720"/>
      <c r="E370" s="24">
        <f t="shared" si="60"/>
        <v>0.06</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7">
        <f t="shared" si="67"/>
        <v>0</v>
      </c>
      <c r="S370" s="362">
        <f t="shared" si="58"/>
        <v>0</v>
      </c>
    </row>
    <row r="371" spans="1:19">
      <c r="A371" s="160"/>
      <c r="B371" s="59"/>
      <c r="C371" s="24">
        <f t="shared" si="59"/>
        <v>1</v>
      </c>
      <c r="D371" s="720"/>
      <c r="E371" s="24">
        <f t="shared" si="60"/>
        <v>0.06</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7">
        <f t="shared" si="67"/>
        <v>0</v>
      </c>
      <c r="S371" s="362">
        <f t="shared" si="58"/>
        <v>0</v>
      </c>
    </row>
    <row r="372" spans="1:19">
      <c r="A372" s="160"/>
      <c r="B372" s="59"/>
      <c r="C372" s="24">
        <f t="shared" si="59"/>
        <v>1</v>
      </c>
      <c r="D372" s="720"/>
      <c r="E372" s="24">
        <f t="shared" si="60"/>
        <v>0.06</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7">
        <f t="shared" si="67"/>
        <v>0</v>
      </c>
      <c r="S372" s="362">
        <f t="shared" si="58"/>
        <v>0</v>
      </c>
    </row>
    <row r="373" spans="1:19">
      <c r="A373" s="160"/>
      <c r="B373" s="59"/>
      <c r="C373" s="24">
        <f t="shared" si="59"/>
        <v>1</v>
      </c>
      <c r="D373" s="720"/>
      <c r="E373" s="24">
        <f t="shared" si="60"/>
        <v>0.06</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7">
        <f t="shared" si="67"/>
        <v>0</v>
      </c>
      <c r="S373" s="362">
        <f t="shared" si="58"/>
        <v>0</v>
      </c>
    </row>
    <row r="374" spans="1:19">
      <c r="A374" s="160"/>
      <c r="B374" s="59"/>
      <c r="C374" s="24">
        <f t="shared" si="59"/>
        <v>1</v>
      </c>
      <c r="D374" s="720"/>
      <c r="E374" s="24">
        <f t="shared" si="60"/>
        <v>0.06</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7">
        <f t="shared" si="67"/>
        <v>0</v>
      </c>
      <c r="S374" s="362">
        <f t="shared" si="58"/>
        <v>0</v>
      </c>
    </row>
    <row r="375" spans="1:19">
      <c r="A375" s="160"/>
      <c r="B375" s="59"/>
      <c r="C375" s="24">
        <f t="shared" si="59"/>
        <v>1</v>
      </c>
      <c r="D375" s="720"/>
      <c r="E375" s="24">
        <f t="shared" si="60"/>
        <v>0.06</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7">
        <f t="shared" si="67"/>
        <v>0</v>
      </c>
      <c r="S375" s="362">
        <f t="shared" si="58"/>
        <v>0</v>
      </c>
    </row>
    <row r="376" spans="1:19">
      <c r="A376" s="160"/>
      <c r="B376" s="59"/>
      <c r="C376" s="24">
        <f t="shared" si="59"/>
        <v>1</v>
      </c>
      <c r="D376" s="720"/>
      <c r="E376" s="24">
        <f t="shared" si="60"/>
        <v>0.06</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7">
        <f t="shared" si="67"/>
        <v>0</v>
      </c>
      <c r="S376" s="362">
        <f t="shared" si="58"/>
        <v>0</v>
      </c>
    </row>
    <row r="377" spans="1:19">
      <c r="A377" s="160"/>
      <c r="B377" s="59"/>
      <c r="C377" s="24">
        <f t="shared" si="59"/>
        <v>1</v>
      </c>
      <c r="D377" s="720"/>
      <c r="E377" s="24">
        <f t="shared" si="60"/>
        <v>0.06</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7">
        <f t="shared" si="67"/>
        <v>0</v>
      </c>
      <c r="S377" s="362">
        <f t="shared" si="58"/>
        <v>0</v>
      </c>
    </row>
    <row r="378" spans="1:19">
      <c r="A378" s="160"/>
      <c r="B378" s="59"/>
      <c r="C378" s="24">
        <f t="shared" si="59"/>
        <v>1</v>
      </c>
      <c r="D378" s="720"/>
      <c r="E378" s="24">
        <f t="shared" si="60"/>
        <v>0.06</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7">
        <f t="shared" si="67"/>
        <v>0</v>
      </c>
      <c r="S378" s="362">
        <f t="shared" si="58"/>
        <v>0</v>
      </c>
    </row>
    <row r="379" spans="1:19">
      <c r="A379" s="160"/>
      <c r="B379" s="59"/>
      <c r="C379" s="24">
        <f t="shared" si="59"/>
        <v>1</v>
      </c>
      <c r="D379" s="720"/>
      <c r="E379" s="24">
        <f t="shared" si="60"/>
        <v>0.06</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7">
        <f t="shared" si="67"/>
        <v>0</v>
      </c>
      <c r="S379" s="362">
        <f t="shared" si="58"/>
        <v>0</v>
      </c>
    </row>
    <row r="380" spans="1:19">
      <c r="A380" s="160"/>
      <c r="B380" s="59"/>
      <c r="C380" s="24">
        <f t="shared" si="59"/>
        <v>1</v>
      </c>
      <c r="D380" s="720"/>
      <c r="E380" s="24">
        <f t="shared" si="60"/>
        <v>0.06</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7">
        <f t="shared" si="67"/>
        <v>0</v>
      </c>
      <c r="S380" s="362">
        <f t="shared" si="58"/>
        <v>0</v>
      </c>
    </row>
    <row r="381" spans="1:19">
      <c r="A381" s="160"/>
      <c r="B381" s="59"/>
      <c r="C381" s="24">
        <f t="shared" si="59"/>
        <v>1</v>
      </c>
      <c r="D381" s="720"/>
      <c r="E381" s="24">
        <f t="shared" si="60"/>
        <v>0.06</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7">
        <f t="shared" si="67"/>
        <v>0</v>
      </c>
      <c r="S381" s="362">
        <f t="shared" si="58"/>
        <v>0</v>
      </c>
    </row>
    <row r="382" spans="1:19">
      <c r="A382" s="160"/>
      <c r="B382" s="59"/>
      <c r="C382" s="24">
        <f t="shared" si="59"/>
        <v>1</v>
      </c>
      <c r="D382" s="720"/>
      <c r="E382" s="24">
        <f t="shared" si="60"/>
        <v>0.06</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7">
        <f t="shared" si="67"/>
        <v>0</v>
      </c>
      <c r="S382" s="362">
        <f t="shared" si="58"/>
        <v>0</v>
      </c>
    </row>
    <row r="383" spans="1:19">
      <c r="A383" s="160"/>
      <c r="B383" s="59"/>
      <c r="C383" s="24">
        <f t="shared" si="59"/>
        <v>1</v>
      </c>
      <c r="D383" s="720"/>
      <c r="E383" s="24">
        <f t="shared" si="60"/>
        <v>0.06</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7">
        <f t="shared" si="67"/>
        <v>0</v>
      </c>
      <c r="S383" s="362">
        <f t="shared" si="58"/>
        <v>0</v>
      </c>
    </row>
    <row r="384" spans="1:19">
      <c r="A384" s="160"/>
      <c r="B384" s="59"/>
      <c r="C384" s="24">
        <f t="shared" si="59"/>
        <v>1</v>
      </c>
      <c r="D384" s="720"/>
      <c r="E384" s="24">
        <f t="shared" si="60"/>
        <v>0.06</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7">
        <f t="shared" si="67"/>
        <v>0</v>
      </c>
      <c r="S384" s="362">
        <f t="shared" si="58"/>
        <v>0</v>
      </c>
    </row>
    <row r="385" spans="1:19">
      <c r="A385" s="160"/>
      <c r="B385" s="59"/>
      <c r="C385" s="24">
        <f t="shared" si="59"/>
        <v>1</v>
      </c>
      <c r="D385" s="720"/>
      <c r="E385" s="24">
        <f t="shared" si="60"/>
        <v>0.06</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7">
        <f t="shared" si="67"/>
        <v>0</v>
      </c>
      <c r="S385" s="362">
        <f t="shared" ref="S385:S422" si="68">ROUND(R385*B385/10000,0)</f>
        <v>0</v>
      </c>
    </row>
    <row r="386" spans="1:19">
      <c r="A386" s="160"/>
      <c r="B386" s="59"/>
      <c r="C386" s="24">
        <f t="shared" si="59"/>
        <v>1</v>
      </c>
      <c r="D386" s="720"/>
      <c r="E386" s="24">
        <f t="shared" si="60"/>
        <v>0.06</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7">
        <f t="shared" si="67"/>
        <v>0</v>
      </c>
      <c r="S386" s="362">
        <f t="shared" si="68"/>
        <v>0</v>
      </c>
    </row>
    <row r="387" spans="1:19">
      <c r="A387" s="160"/>
      <c r="B387" s="59"/>
      <c r="C387" s="24">
        <f t="shared" si="59"/>
        <v>1</v>
      </c>
      <c r="D387" s="720"/>
      <c r="E387" s="24">
        <f t="shared" si="60"/>
        <v>0.06</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7">
        <f t="shared" si="67"/>
        <v>0</v>
      </c>
      <c r="S387" s="362">
        <f t="shared" si="68"/>
        <v>0</v>
      </c>
    </row>
    <row r="388" spans="1:19">
      <c r="A388" s="160"/>
      <c r="B388" s="59"/>
      <c r="C388" s="24">
        <f t="shared" si="59"/>
        <v>1</v>
      </c>
      <c r="D388" s="720"/>
      <c r="E388" s="24">
        <f t="shared" si="60"/>
        <v>0.06</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7">
        <f t="shared" si="67"/>
        <v>0</v>
      </c>
      <c r="S388" s="362">
        <f t="shared" si="68"/>
        <v>0</v>
      </c>
    </row>
    <row r="389" spans="1:19">
      <c r="A389" s="160"/>
      <c r="B389" s="59"/>
      <c r="C389" s="24">
        <f t="shared" si="59"/>
        <v>1</v>
      </c>
      <c r="D389" s="720"/>
      <c r="E389" s="24">
        <f t="shared" si="60"/>
        <v>0.06</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7">
        <f t="shared" si="67"/>
        <v>0</v>
      </c>
      <c r="S389" s="362">
        <f t="shared" si="68"/>
        <v>0</v>
      </c>
    </row>
    <row r="390" spans="1:19">
      <c r="A390" s="160"/>
      <c r="B390" s="59"/>
      <c r="C390" s="24">
        <f t="shared" si="59"/>
        <v>1</v>
      </c>
      <c r="D390" s="720"/>
      <c r="E390" s="24">
        <f t="shared" si="60"/>
        <v>0.06</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7">
        <f t="shared" si="67"/>
        <v>0</v>
      </c>
      <c r="S390" s="362">
        <f t="shared" si="68"/>
        <v>0</v>
      </c>
    </row>
    <row r="391" spans="1:19">
      <c r="A391" s="160"/>
      <c r="B391" s="59"/>
      <c r="C391" s="24">
        <f t="shared" si="59"/>
        <v>1</v>
      </c>
      <c r="D391" s="720"/>
      <c r="E391" s="24">
        <f t="shared" si="60"/>
        <v>0.06</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7">
        <f t="shared" si="67"/>
        <v>0</v>
      </c>
      <c r="S391" s="362">
        <f t="shared" si="68"/>
        <v>0</v>
      </c>
    </row>
    <row r="392" spans="1:19">
      <c r="A392" s="160"/>
      <c r="B392" s="59"/>
      <c r="C392" s="24">
        <f t="shared" si="59"/>
        <v>1</v>
      </c>
      <c r="D392" s="720"/>
      <c r="E392" s="24">
        <f t="shared" si="60"/>
        <v>0.06</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7">
        <f t="shared" si="67"/>
        <v>0</v>
      </c>
      <c r="S392" s="362">
        <f t="shared" si="68"/>
        <v>0</v>
      </c>
    </row>
    <row r="393" spans="1:19">
      <c r="A393" s="160"/>
      <c r="B393" s="59"/>
      <c r="C393" s="24">
        <f t="shared" si="59"/>
        <v>1</v>
      </c>
      <c r="D393" s="720"/>
      <c r="E393" s="24">
        <f t="shared" si="60"/>
        <v>0.06</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7">
        <f t="shared" si="67"/>
        <v>0</v>
      </c>
      <c r="S393" s="362">
        <f t="shared" si="68"/>
        <v>0</v>
      </c>
    </row>
    <row r="394" spans="1:19">
      <c r="A394" s="160"/>
      <c r="B394" s="59"/>
      <c r="C394" s="24">
        <f t="shared" si="59"/>
        <v>1</v>
      </c>
      <c r="D394" s="720"/>
      <c r="E394" s="24">
        <f t="shared" si="60"/>
        <v>0.06</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7">
        <f t="shared" si="67"/>
        <v>0</v>
      </c>
      <c r="S394" s="362">
        <f t="shared" si="68"/>
        <v>0</v>
      </c>
    </row>
    <row r="395" spans="1:19">
      <c r="A395" s="160"/>
      <c r="B395" s="59"/>
      <c r="C395" s="24">
        <f t="shared" si="59"/>
        <v>1</v>
      </c>
      <c r="D395" s="720"/>
      <c r="E395" s="24">
        <f t="shared" si="60"/>
        <v>0.06</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7">
        <f t="shared" si="67"/>
        <v>0</v>
      </c>
      <c r="S395" s="362">
        <f t="shared" si="68"/>
        <v>0</v>
      </c>
    </row>
    <row r="396" spans="1:19">
      <c r="A396" s="160"/>
      <c r="B396" s="59"/>
      <c r="C396" s="24">
        <f t="shared" si="59"/>
        <v>1</v>
      </c>
      <c r="D396" s="720"/>
      <c r="E396" s="24">
        <f t="shared" si="60"/>
        <v>0.06</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7">
        <f t="shared" si="67"/>
        <v>0</v>
      </c>
      <c r="S396" s="362">
        <f t="shared" si="68"/>
        <v>0</v>
      </c>
    </row>
    <row r="397" spans="1:19">
      <c r="A397" s="160"/>
      <c r="B397" s="59"/>
      <c r="C397" s="24">
        <f t="shared" si="59"/>
        <v>1</v>
      </c>
      <c r="D397" s="720"/>
      <c r="E397" s="24">
        <f t="shared" si="60"/>
        <v>0.06</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7">
        <f t="shared" si="67"/>
        <v>0</v>
      </c>
      <c r="S397" s="362">
        <f t="shared" si="68"/>
        <v>0</v>
      </c>
    </row>
    <row r="398" spans="1:19">
      <c r="A398" s="160"/>
      <c r="B398" s="59"/>
      <c r="C398" s="24">
        <f t="shared" si="59"/>
        <v>1</v>
      </c>
      <c r="D398" s="720"/>
      <c r="E398" s="24">
        <f t="shared" si="60"/>
        <v>0.06</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7">
        <f t="shared" si="67"/>
        <v>0</v>
      </c>
      <c r="S398" s="362">
        <f t="shared" si="68"/>
        <v>0</v>
      </c>
    </row>
    <row r="399" spans="1:19">
      <c r="A399" s="160"/>
      <c r="B399" s="59"/>
      <c r="C399" s="24">
        <f t="shared" si="59"/>
        <v>1</v>
      </c>
      <c r="D399" s="720"/>
      <c r="E399" s="24">
        <f t="shared" si="60"/>
        <v>0.06</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7">
        <f t="shared" si="67"/>
        <v>0</v>
      </c>
      <c r="S399" s="362">
        <f t="shared" si="68"/>
        <v>0</v>
      </c>
    </row>
    <row r="400" spans="1:19">
      <c r="A400" s="160"/>
      <c r="B400" s="59"/>
      <c r="C400" s="24">
        <f t="shared" si="59"/>
        <v>1</v>
      </c>
      <c r="D400" s="720"/>
      <c r="E400" s="24">
        <f t="shared" si="60"/>
        <v>0.06</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7">
        <f t="shared" si="67"/>
        <v>0</v>
      </c>
      <c r="S400" s="362">
        <f t="shared" si="68"/>
        <v>0</v>
      </c>
    </row>
    <row r="401" spans="1:19">
      <c r="A401" s="160"/>
      <c r="B401" s="59"/>
      <c r="C401" s="24">
        <f t="shared" si="59"/>
        <v>1</v>
      </c>
      <c r="D401" s="720"/>
      <c r="E401" s="24">
        <f t="shared" si="60"/>
        <v>0.06</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7">
        <f t="shared" si="67"/>
        <v>0</v>
      </c>
      <c r="S401" s="362">
        <f t="shared" si="68"/>
        <v>0</v>
      </c>
    </row>
    <row r="402" spans="1:19">
      <c r="A402" s="160"/>
      <c r="B402" s="59"/>
      <c r="C402" s="24">
        <f t="shared" si="59"/>
        <v>1</v>
      </c>
      <c r="D402" s="720"/>
      <c r="E402" s="24">
        <f t="shared" si="60"/>
        <v>0.06</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7">
        <f t="shared" si="67"/>
        <v>0</v>
      </c>
      <c r="S402" s="362">
        <f t="shared" si="68"/>
        <v>0</v>
      </c>
    </row>
    <row r="403" spans="1:19">
      <c r="A403" s="160"/>
      <c r="B403" s="59"/>
      <c r="C403" s="24">
        <f t="shared" si="59"/>
        <v>1</v>
      </c>
      <c r="D403" s="720"/>
      <c r="E403" s="24">
        <f t="shared" si="60"/>
        <v>0.06</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7">
        <f t="shared" si="67"/>
        <v>0</v>
      </c>
      <c r="S403" s="362">
        <f t="shared" si="68"/>
        <v>0</v>
      </c>
    </row>
    <row r="404" spans="1:19">
      <c r="A404" s="160"/>
      <c r="B404" s="59"/>
      <c r="C404" s="24">
        <f t="shared" si="59"/>
        <v>1</v>
      </c>
      <c r="D404" s="720"/>
      <c r="E404" s="24">
        <f t="shared" si="60"/>
        <v>0.06</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7">
        <f t="shared" si="67"/>
        <v>0</v>
      </c>
      <c r="S404" s="362">
        <f t="shared" si="68"/>
        <v>0</v>
      </c>
    </row>
    <row r="405" spans="1:19">
      <c r="A405" s="160"/>
      <c r="B405" s="59"/>
      <c r="C405" s="24">
        <f t="shared" si="59"/>
        <v>1</v>
      </c>
      <c r="D405" s="720"/>
      <c r="E405" s="24">
        <f t="shared" si="60"/>
        <v>0.06</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7">
        <f t="shared" si="67"/>
        <v>0</v>
      </c>
      <c r="S405" s="362">
        <f t="shared" si="68"/>
        <v>0</v>
      </c>
    </row>
    <row r="406" spans="1:19">
      <c r="A406" s="160"/>
      <c r="B406" s="59"/>
      <c r="C406" s="24">
        <f t="shared" si="59"/>
        <v>1</v>
      </c>
      <c r="D406" s="720"/>
      <c r="E406" s="24">
        <f t="shared" si="60"/>
        <v>0.06</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7">
        <f t="shared" si="67"/>
        <v>0</v>
      </c>
      <c r="S406" s="362">
        <f t="shared" si="68"/>
        <v>0</v>
      </c>
    </row>
    <row r="407" spans="1:19">
      <c r="A407" s="160"/>
      <c r="B407" s="59"/>
      <c r="C407" s="24">
        <f t="shared" si="59"/>
        <v>1</v>
      </c>
      <c r="D407" s="720"/>
      <c r="E407" s="24">
        <f t="shared" si="60"/>
        <v>0.06</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7">
        <f t="shared" si="67"/>
        <v>0</v>
      </c>
      <c r="S407" s="362">
        <f t="shared" si="68"/>
        <v>0</v>
      </c>
    </row>
    <row r="408" spans="1:19">
      <c r="A408" s="160"/>
      <c r="B408" s="59"/>
      <c r="C408" s="24">
        <f t="shared" si="59"/>
        <v>1</v>
      </c>
      <c r="D408" s="720"/>
      <c r="E408" s="24">
        <f t="shared" si="60"/>
        <v>0.06</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7">
        <f t="shared" si="67"/>
        <v>0</v>
      </c>
      <c r="S408" s="362">
        <f t="shared" si="68"/>
        <v>0</v>
      </c>
    </row>
    <row r="409" spans="1:19">
      <c r="A409" s="160"/>
      <c r="B409" s="59"/>
      <c r="C409" s="24">
        <f t="shared" si="59"/>
        <v>1</v>
      </c>
      <c r="D409" s="720"/>
      <c r="E409" s="24">
        <f t="shared" si="60"/>
        <v>0.06</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7">
        <f t="shared" si="67"/>
        <v>0</v>
      </c>
      <c r="S409" s="362">
        <f t="shared" si="68"/>
        <v>0</v>
      </c>
    </row>
    <row r="410" spans="1:19">
      <c r="A410" s="160"/>
      <c r="B410" s="59"/>
      <c r="C410" s="24">
        <f t="shared" ref="C410:C473" si="69">IF(B410="",1,(LOOKUP(B410,$3:$3,$4:$4)-LOOKUP($B$24,$3:$3,$4:$4)+100)/100)</f>
        <v>1</v>
      </c>
      <c r="D410" s="720"/>
      <c r="E410" s="24">
        <f t="shared" ref="E410:E473" si="70">(SUMIF($5:$5,D410,$6:$6)-SUMIF($5:$5,$D$24,$6:$6)+100)/100</f>
        <v>0.06</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7">
        <f t="shared" ref="R410:R473" si="77">IF(B410="",0,ROUND($R$24*C410*E410*G410*I410*K410*M410*O410*Q410,0))</f>
        <v>0</v>
      </c>
      <c r="S410" s="362">
        <f t="shared" si="68"/>
        <v>0</v>
      </c>
    </row>
    <row r="411" spans="1:19">
      <c r="A411" s="160"/>
      <c r="B411" s="59"/>
      <c r="C411" s="24">
        <f t="shared" si="69"/>
        <v>1</v>
      </c>
      <c r="D411" s="720"/>
      <c r="E411" s="24">
        <f t="shared" si="70"/>
        <v>0.06</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7">
        <f t="shared" si="77"/>
        <v>0</v>
      </c>
      <c r="S411" s="362">
        <f t="shared" si="68"/>
        <v>0</v>
      </c>
    </row>
    <row r="412" spans="1:19">
      <c r="A412" s="160"/>
      <c r="B412" s="59"/>
      <c r="C412" s="24">
        <f t="shared" si="69"/>
        <v>1</v>
      </c>
      <c r="D412" s="720"/>
      <c r="E412" s="24">
        <f t="shared" si="70"/>
        <v>0.06</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7">
        <f t="shared" si="77"/>
        <v>0</v>
      </c>
      <c r="S412" s="362">
        <f t="shared" si="68"/>
        <v>0</v>
      </c>
    </row>
    <row r="413" spans="1:19">
      <c r="A413" s="160"/>
      <c r="B413" s="59"/>
      <c r="C413" s="24">
        <f t="shared" si="69"/>
        <v>1</v>
      </c>
      <c r="D413" s="720"/>
      <c r="E413" s="24">
        <f t="shared" si="70"/>
        <v>0.06</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7">
        <f t="shared" si="77"/>
        <v>0</v>
      </c>
      <c r="S413" s="362">
        <f t="shared" si="68"/>
        <v>0</v>
      </c>
    </row>
    <row r="414" spans="1:19">
      <c r="A414" s="160"/>
      <c r="B414" s="59"/>
      <c r="C414" s="24">
        <f t="shared" si="69"/>
        <v>1</v>
      </c>
      <c r="D414" s="720"/>
      <c r="E414" s="24">
        <f t="shared" si="70"/>
        <v>0.06</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7">
        <f t="shared" si="77"/>
        <v>0</v>
      </c>
      <c r="S414" s="362">
        <f t="shared" si="68"/>
        <v>0</v>
      </c>
    </row>
    <row r="415" spans="1:19">
      <c r="A415" s="160"/>
      <c r="B415" s="59"/>
      <c r="C415" s="24">
        <f t="shared" si="69"/>
        <v>1</v>
      </c>
      <c r="D415" s="720"/>
      <c r="E415" s="24">
        <f t="shared" si="70"/>
        <v>0.06</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7">
        <f t="shared" si="77"/>
        <v>0</v>
      </c>
      <c r="S415" s="362">
        <f t="shared" si="68"/>
        <v>0</v>
      </c>
    </row>
    <row r="416" spans="1:19">
      <c r="A416" s="160"/>
      <c r="B416" s="59"/>
      <c r="C416" s="24">
        <f t="shared" si="69"/>
        <v>1</v>
      </c>
      <c r="D416" s="720"/>
      <c r="E416" s="24">
        <f t="shared" si="70"/>
        <v>0.06</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7">
        <f t="shared" si="77"/>
        <v>0</v>
      </c>
      <c r="S416" s="362">
        <f t="shared" si="68"/>
        <v>0</v>
      </c>
    </row>
    <row r="417" spans="1:19">
      <c r="A417" s="160"/>
      <c r="B417" s="59"/>
      <c r="C417" s="24">
        <f t="shared" si="69"/>
        <v>1</v>
      </c>
      <c r="D417" s="720"/>
      <c r="E417" s="24">
        <f t="shared" si="70"/>
        <v>0.06</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7">
        <f t="shared" si="77"/>
        <v>0</v>
      </c>
      <c r="S417" s="362">
        <f t="shared" si="68"/>
        <v>0</v>
      </c>
    </row>
    <row r="418" spans="1:19">
      <c r="A418" s="160"/>
      <c r="B418" s="59"/>
      <c r="C418" s="24">
        <f t="shared" si="69"/>
        <v>1</v>
      </c>
      <c r="D418" s="720"/>
      <c r="E418" s="24">
        <f t="shared" si="70"/>
        <v>0.06</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7">
        <f t="shared" si="77"/>
        <v>0</v>
      </c>
      <c r="S418" s="362">
        <f t="shared" si="68"/>
        <v>0</v>
      </c>
    </row>
    <row r="419" spans="1:19">
      <c r="A419" s="160"/>
      <c r="B419" s="59"/>
      <c r="C419" s="24">
        <f t="shared" si="69"/>
        <v>1</v>
      </c>
      <c r="D419" s="720"/>
      <c r="E419" s="24">
        <f t="shared" si="70"/>
        <v>0.06</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7">
        <f t="shared" si="77"/>
        <v>0</v>
      </c>
      <c r="S419" s="362">
        <f t="shared" si="68"/>
        <v>0</v>
      </c>
    </row>
    <row r="420" spans="1:19">
      <c r="A420" s="160"/>
      <c r="B420" s="59"/>
      <c r="C420" s="24">
        <f t="shared" si="69"/>
        <v>1</v>
      </c>
      <c r="D420" s="720"/>
      <c r="E420" s="24">
        <f t="shared" si="70"/>
        <v>0.06</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7">
        <f t="shared" si="77"/>
        <v>0</v>
      </c>
      <c r="S420" s="362">
        <f t="shared" si="68"/>
        <v>0</v>
      </c>
    </row>
    <row r="421" spans="1:19">
      <c r="A421" s="160"/>
      <c r="B421" s="59"/>
      <c r="C421" s="24">
        <f t="shared" si="69"/>
        <v>1</v>
      </c>
      <c r="D421" s="720"/>
      <c r="E421" s="24">
        <f t="shared" si="70"/>
        <v>0.06</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7">
        <f t="shared" si="77"/>
        <v>0</v>
      </c>
      <c r="S421" s="362">
        <f t="shared" si="68"/>
        <v>0</v>
      </c>
    </row>
    <row r="422" spans="1:19">
      <c r="A422" s="160"/>
      <c r="B422" s="59"/>
      <c r="C422" s="24">
        <f t="shared" si="69"/>
        <v>1</v>
      </c>
      <c r="D422" s="720"/>
      <c r="E422" s="24">
        <f t="shared" si="70"/>
        <v>0.06</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7">
        <f t="shared" si="77"/>
        <v>0</v>
      </c>
      <c r="S422" s="362">
        <f t="shared" si="68"/>
        <v>0</v>
      </c>
    </row>
    <row r="423" spans="1:19">
      <c r="A423" s="160"/>
      <c r="B423" s="59"/>
      <c r="C423" s="24">
        <f t="shared" si="69"/>
        <v>1</v>
      </c>
      <c r="D423" s="720"/>
      <c r="E423" s="24">
        <f t="shared" si="70"/>
        <v>0.06</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7">
        <f t="shared" si="77"/>
        <v>0</v>
      </c>
      <c r="S423" s="362">
        <f t="shared" ref="S423:S467" si="78">ROUND(R423*B423/10000,0)</f>
        <v>0</v>
      </c>
    </row>
    <row r="424" spans="1:19">
      <c r="A424" s="160"/>
      <c r="B424" s="59"/>
      <c r="C424" s="24">
        <f t="shared" si="69"/>
        <v>1</v>
      </c>
      <c r="D424" s="720"/>
      <c r="E424" s="24">
        <f t="shared" si="70"/>
        <v>0.06</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7">
        <f t="shared" si="77"/>
        <v>0</v>
      </c>
      <c r="S424" s="362">
        <f t="shared" si="78"/>
        <v>0</v>
      </c>
    </row>
    <row r="425" spans="1:19">
      <c r="A425" s="160"/>
      <c r="B425" s="59"/>
      <c r="C425" s="24">
        <f t="shared" si="69"/>
        <v>1</v>
      </c>
      <c r="D425" s="720"/>
      <c r="E425" s="24">
        <f t="shared" si="70"/>
        <v>0.06</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7">
        <f t="shared" si="77"/>
        <v>0</v>
      </c>
      <c r="S425" s="362">
        <f t="shared" si="78"/>
        <v>0</v>
      </c>
    </row>
    <row r="426" spans="1:19">
      <c r="A426" s="160"/>
      <c r="B426" s="59"/>
      <c r="C426" s="24">
        <f t="shared" si="69"/>
        <v>1</v>
      </c>
      <c r="D426" s="720"/>
      <c r="E426" s="24">
        <f t="shared" si="70"/>
        <v>0.06</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7">
        <f t="shared" si="77"/>
        <v>0</v>
      </c>
      <c r="S426" s="362">
        <f t="shared" si="78"/>
        <v>0</v>
      </c>
    </row>
    <row r="427" spans="1:19">
      <c r="A427" s="160"/>
      <c r="B427" s="59"/>
      <c r="C427" s="24">
        <f t="shared" si="69"/>
        <v>1</v>
      </c>
      <c r="D427" s="720"/>
      <c r="E427" s="24">
        <f t="shared" si="70"/>
        <v>0.06</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7">
        <f t="shared" si="77"/>
        <v>0</v>
      </c>
      <c r="S427" s="362">
        <f t="shared" si="78"/>
        <v>0</v>
      </c>
    </row>
    <row r="428" spans="1:19">
      <c r="A428" s="160"/>
      <c r="B428" s="59"/>
      <c r="C428" s="24">
        <f t="shared" si="69"/>
        <v>1</v>
      </c>
      <c r="D428" s="720"/>
      <c r="E428" s="24">
        <f t="shared" si="70"/>
        <v>0.06</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7">
        <f t="shared" si="77"/>
        <v>0</v>
      </c>
      <c r="S428" s="362">
        <f t="shared" si="78"/>
        <v>0</v>
      </c>
    </row>
    <row r="429" spans="1:19">
      <c r="A429" s="160"/>
      <c r="B429" s="59"/>
      <c r="C429" s="24">
        <f t="shared" si="69"/>
        <v>1</v>
      </c>
      <c r="D429" s="720"/>
      <c r="E429" s="24">
        <f t="shared" si="70"/>
        <v>0.06</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7">
        <f t="shared" si="77"/>
        <v>0</v>
      </c>
      <c r="S429" s="362">
        <f t="shared" si="78"/>
        <v>0</v>
      </c>
    </row>
    <row r="430" spans="1:19">
      <c r="A430" s="160"/>
      <c r="B430" s="59"/>
      <c r="C430" s="24">
        <f t="shared" si="69"/>
        <v>1</v>
      </c>
      <c r="D430" s="720"/>
      <c r="E430" s="24">
        <f t="shared" si="70"/>
        <v>0.06</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7">
        <f t="shared" si="77"/>
        <v>0</v>
      </c>
      <c r="S430" s="362">
        <f t="shared" si="78"/>
        <v>0</v>
      </c>
    </row>
    <row r="431" spans="1:19">
      <c r="A431" s="160"/>
      <c r="B431" s="59"/>
      <c r="C431" s="24">
        <f t="shared" si="69"/>
        <v>1</v>
      </c>
      <c r="D431" s="720"/>
      <c r="E431" s="24">
        <f t="shared" si="70"/>
        <v>0.06</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7">
        <f t="shared" si="77"/>
        <v>0</v>
      </c>
      <c r="S431" s="362">
        <f t="shared" si="78"/>
        <v>0</v>
      </c>
    </row>
    <row r="432" spans="1:19">
      <c r="A432" s="160"/>
      <c r="B432" s="59"/>
      <c r="C432" s="24">
        <f t="shared" si="69"/>
        <v>1</v>
      </c>
      <c r="D432" s="720"/>
      <c r="E432" s="24">
        <f t="shared" si="70"/>
        <v>0.06</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7">
        <f t="shared" si="77"/>
        <v>0</v>
      </c>
      <c r="S432" s="362">
        <f t="shared" si="78"/>
        <v>0</v>
      </c>
    </row>
    <row r="433" spans="1:19">
      <c r="A433" s="160"/>
      <c r="B433" s="59"/>
      <c r="C433" s="24">
        <f t="shared" si="69"/>
        <v>1</v>
      </c>
      <c r="D433" s="720"/>
      <c r="E433" s="24">
        <f t="shared" si="70"/>
        <v>0.06</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7">
        <f t="shared" si="77"/>
        <v>0</v>
      </c>
      <c r="S433" s="362">
        <f t="shared" si="78"/>
        <v>0</v>
      </c>
    </row>
    <row r="434" spans="1:19">
      <c r="A434" s="160"/>
      <c r="B434" s="59"/>
      <c r="C434" s="24">
        <f t="shared" si="69"/>
        <v>1</v>
      </c>
      <c r="D434" s="720"/>
      <c r="E434" s="24">
        <f t="shared" si="70"/>
        <v>0.06</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7">
        <f t="shared" si="77"/>
        <v>0</v>
      </c>
      <c r="S434" s="362">
        <f t="shared" si="78"/>
        <v>0</v>
      </c>
    </row>
    <row r="435" spans="1:19">
      <c r="A435" s="160"/>
      <c r="B435" s="59"/>
      <c r="C435" s="24">
        <f t="shared" si="69"/>
        <v>1</v>
      </c>
      <c r="D435" s="720"/>
      <c r="E435" s="24">
        <f t="shared" si="70"/>
        <v>0.06</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7">
        <f t="shared" si="77"/>
        <v>0</v>
      </c>
      <c r="S435" s="362">
        <f t="shared" si="78"/>
        <v>0</v>
      </c>
    </row>
    <row r="436" spans="1:19">
      <c r="A436" s="160"/>
      <c r="B436" s="59"/>
      <c r="C436" s="24">
        <f t="shared" si="69"/>
        <v>1</v>
      </c>
      <c r="D436" s="720"/>
      <c r="E436" s="24">
        <f t="shared" si="70"/>
        <v>0.06</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7">
        <f t="shared" si="77"/>
        <v>0</v>
      </c>
      <c r="S436" s="362">
        <f t="shared" si="78"/>
        <v>0</v>
      </c>
    </row>
    <row r="437" spans="1:19">
      <c r="A437" s="160"/>
      <c r="B437" s="59"/>
      <c r="C437" s="24">
        <f t="shared" si="69"/>
        <v>1</v>
      </c>
      <c r="D437" s="720"/>
      <c r="E437" s="24">
        <f t="shared" si="70"/>
        <v>0.06</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7">
        <f t="shared" si="77"/>
        <v>0</v>
      </c>
      <c r="S437" s="362">
        <f t="shared" si="78"/>
        <v>0</v>
      </c>
    </row>
    <row r="438" spans="1:19">
      <c r="A438" s="160"/>
      <c r="B438" s="59"/>
      <c r="C438" s="24">
        <f t="shared" si="69"/>
        <v>1</v>
      </c>
      <c r="D438" s="720"/>
      <c r="E438" s="24">
        <f t="shared" si="70"/>
        <v>0.06</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7">
        <f t="shared" si="77"/>
        <v>0</v>
      </c>
      <c r="S438" s="362">
        <f t="shared" si="78"/>
        <v>0</v>
      </c>
    </row>
    <row r="439" spans="1:19">
      <c r="A439" s="160"/>
      <c r="B439" s="59"/>
      <c r="C439" s="24">
        <f t="shared" si="69"/>
        <v>1</v>
      </c>
      <c r="D439" s="720"/>
      <c r="E439" s="24">
        <f t="shared" si="70"/>
        <v>0.06</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7">
        <f t="shared" si="77"/>
        <v>0</v>
      </c>
      <c r="S439" s="362">
        <f t="shared" si="78"/>
        <v>0</v>
      </c>
    </row>
    <row r="440" spans="1:19">
      <c r="A440" s="160"/>
      <c r="B440" s="59"/>
      <c r="C440" s="24">
        <f t="shared" si="69"/>
        <v>1</v>
      </c>
      <c r="D440" s="720"/>
      <c r="E440" s="24">
        <f t="shared" si="70"/>
        <v>0.06</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7">
        <f t="shared" si="77"/>
        <v>0</v>
      </c>
      <c r="S440" s="362">
        <f t="shared" si="78"/>
        <v>0</v>
      </c>
    </row>
    <row r="441" spans="1:19">
      <c r="A441" s="160"/>
      <c r="B441" s="59"/>
      <c r="C441" s="24">
        <f t="shared" si="69"/>
        <v>1</v>
      </c>
      <c r="D441" s="720"/>
      <c r="E441" s="24">
        <f t="shared" si="70"/>
        <v>0.06</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7">
        <f t="shared" si="77"/>
        <v>0</v>
      </c>
      <c r="S441" s="362">
        <f t="shared" si="78"/>
        <v>0</v>
      </c>
    </row>
    <row r="442" spans="1:19">
      <c r="A442" s="160"/>
      <c r="B442" s="59"/>
      <c r="C442" s="24">
        <f t="shared" si="69"/>
        <v>1</v>
      </c>
      <c r="D442" s="720"/>
      <c r="E442" s="24">
        <f t="shared" si="70"/>
        <v>0.06</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7">
        <f t="shared" si="77"/>
        <v>0</v>
      </c>
      <c r="S442" s="362">
        <f t="shared" si="78"/>
        <v>0</v>
      </c>
    </row>
    <row r="443" spans="1:19">
      <c r="A443" s="160"/>
      <c r="B443" s="59"/>
      <c r="C443" s="24">
        <f t="shared" si="69"/>
        <v>1</v>
      </c>
      <c r="D443" s="720"/>
      <c r="E443" s="24">
        <f t="shared" si="70"/>
        <v>0.06</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7">
        <f t="shared" si="77"/>
        <v>0</v>
      </c>
      <c r="S443" s="362">
        <f t="shared" si="78"/>
        <v>0</v>
      </c>
    </row>
    <row r="444" spans="1:19">
      <c r="A444" s="160"/>
      <c r="B444" s="59"/>
      <c r="C444" s="24">
        <f t="shared" si="69"/>
        <v>1</v>
      </c>
      <c r="D444" s="720"/>
      <c r="E444" s="24">
        <f t="shared" si="70"/>
        <v>0.06</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7">
        <f t="shared" si="77"/>
        <v>0</v>
      </c>
      <c r="S444" s="362">
        <f t="shared" si="78"/>
        <v>0</v>
      </c>
    </row>
    <row r="445" spans="1:19">
      <c r="A445" s="160"/>
      <c r="B445" s="59"/>
      <c r="C445" s="24">
        <f t="shared" si="69"/>
        <v>1</v>
      </c>
      <c r="D445" s="720"/>
      <c r="E445" s="24">
        <f t="shared" si="70"/>
        <v>0.06</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7">
        <f t="shared" si="77"/>
        <v>0</v>
      </c>
      <c r="S445" s="362">
        <f t="shared" si="78"/>
        <v>0</v>
      </c>
    </row>
    <row r="446" spans="1:19">
      <c r="A446" s="160"/>
      <c r="B446" s="59"/>
      <c r="C446" s="24">
        <f t="shared" si="69"/>
        <v>1</v>
      </c>
      <c r="D446" s="720"/>
      <c r="E446" s="24">
        <f t="shared" si="70"/>
        <v>0.06</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7">
        <f t="shared" si="77"/>
        <v>0</v>
      </c>
      <c r="S446" s="362">
        <f t="shared" si="78"/>
        <v>0</v>
      </c>
    </row>
    <row r="447" spans="1:19">
      <c r="A447" s="160"/>
      <c r="B447" s="59"/>
      <c r="C447" s="24">
        <f t="shared" si="69"/>
        <v>1</v>
      </c>
      <c r="D447" s="720"/>
      <c r="E447" s="24">
        <f t="shared" si="70"/>
        <v>0.06</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7">
        <f t="shared" si="77"/>
        <v>0</v>
      </c>
      <c r="S447" s="362">
        <f t="shared" si="78"/>
        <v>0</v>
      </c>
    </row>
    <row r="448" spans="1:19">
      <c r="A448" s="160"/>
      <c r="B448" s="59"/>
      <c r="C448" s="24">
        <f t="shared" si="69"/>
        <v>1</v>
      </c>
      <c r="D448" s="720"/>
      <c r="E448" s="24">
        <f t="shared" si="70"/>
        <v>0.06</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7">
        <f t="shared" si="77"/>
        <v>0</v>
      </c>
      <c r="S448" s="362">
        <f t="shared" si="78"/>
        <v>0</v>
      </c>
    </row>
    <row r="449" spans="1:19">
      <c r="A449" s="160"/>
      <c r="B449" s="59"/>
      <c r="C449" s="24">
        <f t="shared" si="69"/>
        <v>1</v>
      </c>
      <c r="D449" s="720"/>
      <c r="E449" s="24">
        <f t="shared" si="70"/>
        <v>0.06</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7">
        <f t="shared" si="77"/>
        <v>0</v>
      </c>
      <c r="S449" s="362">
        <f t="shared" si="78"/>
        <v>0</v>
      </c>
    </row>
    <row r="450" spans="1:19">
      <c r="A450" s="160"/>
      <c r="B450" s="59"/>
      <c r="C450" s="24">
        <f t="shared" si="69"/>
        <v>1</v>
      </c>
      <c r="D450" s="720"/>
      <c r="E450" s="24">
        <f t="shared" si="70"/>
        <v>0.06</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7">
        <f t="shared" si="77"/>
        <v>0</v>
      </c>
      <c r="S450" s="362">
        <f t="shared" si="78"/>
        <v>0</v>
      </c>
    </row>
    <row r="451" spans="1:19">
      <c r="A451" s="160"/>
      <c r="B451" s="59"/>
      <c r="C451" s="24">
        <f t="shared" si="69"/>
        <v>1</v>
      </c>
      <c r="D451" s="720"/>
      <c r="E451" s="24">
        <f t="shared" si="70"/>
        <v>0.06</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7">
        <f t="shared" si="77"/>
        <v>0</v>
      </c>
      <c r="S451" s="362">
        <f t="shared" si="78"/>
        <v>0</v>
      </c>
    </row>
    <row r="452" spans="1:19">
      <c r="A452" s="160"/>
      <c r="B452" s="59"/>
      <c r="C452" s="24">
        <f t="shared" si="69"/>
        <v>1</v>
      </c>
      <c r="D452" s="720"/>
      <c r="E452" s="24">
        <f t="shared" si="70"/>
        <v>0.06</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7">
        <f t="shared" si="77"/>
        <v>0</v>
      </c>
      <c r="S452" s="362">
        <f t="shared" si="78"/>
        <v>0</v>
      </c>
    </row>
    <row r="453" spans="1:19">
      <c r="A453" s="160"/>
      <c r="B453" s="59"/>
      <c r="C453" s="24">
        <f t="shared" si="69"/>
        <v>1</v>
      </c>
      <c r="D453" s="720"/>
      <c r="E453" s="24">
        <f t="shared" si="70"/>
        <v>0.06</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7">
        <f t="shared" si="77"/>
        <v>0</v>
      </c>
      <c r="S453" s="362">
        <f t="shared" si="78"/>
        <v>0</v>
      </c>
    </row>
    <row r="454" spans="1:19">
      <c r="A454" s="160"/>
      <c r="B454" s="59"/>
      <c r="C454" s="24">
        <f t="shared" si="69"/>
        <v>1</v>
      </c>
      <c r="D454" s="720"/>
      <c r="E454" s="24">
        <f t="shared" si="70"/>
        <v>0.06</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7">
        <f t="shared" si="77"/>
        <v>0</v>
      </c>
      <c r="S454" s="362">
        <f t="shared" si="78"/>
        <v>0</v>
      </c>
    </row>
    <row r="455" spans="1:19">
      <c r="A455" s="160"/>
      <c r="B455" s="59"/>
      <c r="C455" s="24">
        <f t="shared" si="69"/>
        <v>1</v>
      </c>
      <c r="D455" s="720"/>
      <c r="E455" s="24">
        <f t="shared" si="70"/>
        <v>0.06</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7">
        <f t="shared" si="77"/>
        <v>0</v>
      </c>
      <c r="S455" s="362">
        <f t="shared" si="78"/>
        <v>0</v>
      </c>
    </row>
    <row r="456" spans="1:19">
      <c r="A456" s="160"/>
      <c r="B456" s="59"/>
      <c r="C456" s="24">
        <f t="shared" si="69"/>
        <v>1</v>
      </c>
      <c r="D456" s="720"/>
      <c r="E456" s="24">
        <f t="shared" si="70"/>
        <v>0.06</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7">
        <f t="shared" si="77"/>
        <v>0</v>
      </c>
      <c r="S456" s="362">
        <f t="shared" si="78"/>
        <v>0</v>
      </c>
    </row>
    <row r="457" spans="1:19">
      <c r="A457" s="160"/>
      <c r="B457" s="59"/>
      <c r="C457" s="24">
        <f t="shared" si="69"/>
        <v>1</v>
      </c>
      <c r="D457" s="720"/>
      <c r="E457" s="24">
        <f t="shared" si="70"/>
        <v>0.06</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7">
        <f t="shared" si="77"/>
        <v>0</v>
      </c>
      <c r="S457" s="362">
        <f t="shared" si="78"/>
        <v>0</v>
      </c>
    </row>
    <row r="458" spans="1:19">
      <c r="A458" s="160"/>
      <c r="B458" s="59"/>
      <c r="C458" s="24">
        <f t="shared" si="69"/>
        <v>1</v>
      </c>
      <c r="D458" s="720"/>
      <c r="E458" s="24">
        <f t="shared" si="70"/>
        <v>0.06</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7">
        <f t="shared" si="77"/>
        <v>0</v>
      </c>
      <c r="S458" s="362">
        <f t="shared" si="78"/>
        <v>0</v>
      </c>
    </row>
    <row r="459" spans="1:19">
      <c r="A459" s="160"/>
      <c r="B459" s="59"/>
      <c r="C459" s="24">
        <f t="shared" si="69"/>
        <v>1</v>
      </c>
      <c r="D459" s="720"/>
      <c r="E459" s="24">
        <f t="shared" si="70"/>
        <v>0.06</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7">
        <f t="shared" si="77"/>
        <v>0</v>
      </c>
      <c r="S459" s="362">
        <f t="shared" si="78"/>
        <v>0</v>
      </c>
    </row>
    <row r="460" spans="1:19">
      <c r="A460" s="160"/>
      <c r="B460" s="59"/>
      <c r="C460" s="24">
        <f t="shared" si="69"/>
        <v>1</v>
      </c>
      <c r="D460" s="720"/>
      <c r="E460" s="24">
        <f t="shared" si="70"/>
        <v>0.06</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7">
        <f t="shared" si="77"/>
        <v>0</v>
      </c>
      <c r="S460" s="362">
        <f t="shared" si="78"/>
        <v>0</v>
      </c>
    </row>
    <row r="461" spans="1:19">
      <c r="A461" s="160"/>
      <c r="B461" s="59"/>
      <c r="C461" s="24">
        <f t="shared" si="69"/>
        <v>1</v>
      </c>
      <c r="D461" s="720"/>
      <c r="E461" s="24">
        <f t="shared" si="70"/>
        <v>0.06</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7">
        <f t="shared" si="77"/>
        <v>0</v>
      </c>
      <c r="S461" s="362">
        <f t="shared" si="78"/>
        <v>0</v>
      </c>
    </row>
    <row r="462" spans="1:19">
      <c r="A462" s="160"/>
      <c r="B462" s="59"/>
      <c r="C462" s="24">
        <f t="shared" si="69"/>
        <v>1</v>
      </c>
      <c r="D462" s="720"/>
      <c r="E462" s="24">
        <f t="shared" si="70"/>
        <v>0.06</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7">
        <f t="shared" si="77"/>
        <v>0</v>
      </c>
      <c r="S462" s="362">
        <f t="shared" si="78"/>
        <v>0</v>
      </c>
    </row>
    <row r="463" spans="1:19">
      <c r="A463" s="160"/>
      <c r="B463" s="59"/>
      <c r="C463" s="24">
        <f t="shared" si="69"/>
        <v>1</v>
      </c>
      <c r="D463" s="720"/>
      <c r="E463" s="24">
        <f t="shared" si="70"/>
        <v>0.06</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7">
        <f t="shared" si="77"/>
        <v>0</v>
      </c>
      <c r="S463" s="362">
        <f t="shared" si="78"/>
        <v>0</v>
      </c>
    </row>
    <row r="464" spans="1:19">
      <c r="A464" s="160"/>
      <c r="B464" s="59"/>
      <c r="C464" s="24">
        <f t="shared" si="69"/>
        <v>1</v>
      </c>
      <c r="D464" s="720"/>
      <c r="E464" s="24">
        <f t="shared" si="70"/>
        <v>0.06</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7">
        <f t="shared" si="77"/>
        <v>0</v>
      </c>
      <c r="S464" s="362">
        <f t="shared" si="78"/>
        <v>0</v>
      </c>
    </row>
    <row r="465" spans="1:19">
      <c r="A465" s="160"/>
      <c r="B465" s="59"/>
      <c r="C465" s="24">
        <f t="shared" si="69"/>
        <v>1</v>
      </c>
      <c r="D465" s="720"/>
      <c r="E465" s="24">
        <f t="shared" si="70"/>
        <v>0.06</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7">
        <f t="shared" si="77"/>
        <v>0</v>
      </c>
      <c r="S465" s="362">
        <f t="shared" si="78"/>
        <v>0</v>
      </c>
    </row>
    <row r="466" spans="1:19">
      <c r="A466" s="160"/>
      <c r="B466" s="59"/>
      <c r="C466" s="24">
        <f t="shared" si="69"/>
        <v>1</v>
      </c>
      <c r="D466" s="720"/>
      <c r="E466" s="24">
        <f t="shared" si="70"/>
        <v>0.06</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7">
        <f t="shared" si="77"/>
        <v>0</v>
      </c>
      <c r="S466" s="362">
        <f t="shared" si="78"/>
        <v>0</v>
      </c>
    </row>
    <row r="467" spans="1:19">
      <c r="A467" s="160"/>
      <c r="B467" s="59"/>
      <c r="C467" s="24">
        <f t="shared" si="69"/>
        <v>1</v>
      </c>
      <c r="D467" s="720"/>
      <c r="E467" s="24">
        <f t="shared" si="70"/>
        <v>0.06</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7">
        <f t="shared" si="77"/>
        <v>0</v>
      </c>
      <c r="S467" s="362">
        <f t="shared" si="78"/>
        <v>0</v>
      </c>
    </row>
    <row r="468" spans="1:19">
      <c r="A468" s="160"/>
      <c r="B468" s="59"/>
      <c r="C468" s="24">
        <f t="shared" si="69"/>
        <v>1</v>
      </c>
      <c r="D468" s="720"/>
      <c r="E468" s="24">
        <f t="shared" si="70"/>
        <v>0.06</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7">
        <f t="shared" si="77"/>
        <v>0</v>
      </c>
      <c r="S468" s="362">
        <f t="shared" ref="S468:S497" si="79">ROUND(R468*B468/10000,0)</f>
        <v>0</v>
      </c>
    </row>
    <row r="469" spans="1:19">
      <c r="A469" s="160"/>
      <c r="B469" s="59"/>
      <c r="C469" s="24">
        <f t="shared" si="69"/>
        <v>1</v>
      </c>
      <c r="D469" s="720"/>
      <c r="E469" s="24">
        <f t="shared" si="70"/>
        <v>0.06</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7">
        <f t="shared" si="77"/>
        <v>0</v>
      </c>
      <c r="S469" s="362">
        <f t="shared" si="79"/>
        <v>0</v>
      </c>
    </row>
    <row r="470" spans="1:19">
      <c r="A470" s="160"/>
      <c r="B470" s="59"/>
      <c r="C470" s="24">
        <f t="shared" si="69"/>
        <v>1</v>
      </c>
      <c r="D470" s="720"/>
      <c r="E470" s="24">
        <f t="shared" si="70"/>
        <v>0.06</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7">
        <f t="shared" si="77"/>
        <v>0</v>
      </c>
      <c r="S470" s="362">
        <f t="shared" si="79"/>
        <v>0</v>
      </c>
    </row>
    <row r="471" spans="1:19">
      <c r="A471" s="160"/>
      <c r="B471" s="59"/>
      <c r="C471" s="24">
        <f t="shared" si="69"/>
        <v>1</v>
      </c>
      <c r="D471" s="720"/>
      <c r="E471" s="24">
        <f t="shared" si="70"/>
        <v>0.06</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7">
        <f t="shared" si="77"/>
        <v>0</v>
      </c>
      <c r="S471" s="362">
        <f t="shared" si="79"/>
        <v>0</v>
      </c>
    </row>
    <row r="472" spans="1:19">
      <c r="A472" s="160"/>
      <c r="B472" s="59"/>
      <c r="C472" s="24">
        <f t="shared" si="69"/>
        <v>1</v>
      </c>
      <c r="D472" s="720"/>
      <c r="E472" s="24">
        <f t="shared" si="70"/>
        <v>0.06</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7">
        <f t="shared" si="77"/>
        <v>0</v>
      </c>
      <c r="S472" s="362">
        <f t="shared" si="79"/>
        <v>0</v>
      </c>
    </row>
    <row r="473" spans="1:19">
      <c r="A473" s="160"/>
      <c r="B473" s="59"/>
      <c r="C473" s="24">
        <f t="shared" si="69"/>
        <v>1</v>
      </c>
      <c r="D473" s="720"/>
      <c r="E473" s="24">
        <f t="shared" si="70"/>
        <v>0.06</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7">
        <f t="shared" si="77"/>
        <v>0</v>
      </c>
      <c r="S473" s="362">
        <f t="shared" si="79"/>
        <v>0</v>
      </c>
    </row>
    <row r="474" spans="1:19">
      <c r="A474" s="160"/>
      <c r="B474" s="59"/>
      <c r="C474" s="24">
        <f t="shared" ref="C474:C524" si="80">IF(B474="",1,(LOOKUP(B474,$3:$3,$4:$4)-LOOKUP($B$24,$3:$3,$4:$4)+100)/100)</f>
        <v>1</v>
      </c>
      <c r="D474" s="720"/>
      <c r="E474" s="24">
        <f t="shared" ref="E474:E524" si="81">(SUMIF($5:$5,D474,$6:$6)-SUMIF($5:$5,$D$24,$6:$6)+100)/100</f>
        <v>0.06</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7">
        <f t="shared" ref="R474:R524" si="88">IF(B474="",0,ROUND($R$24*C474*E474*G474*I474*K474*M474*O474*Q474,0))</f>
        <v>0</v>
      </c>
      <c r="S474" s="362">
        <f t="shared" si="79"/>
        <v>0</v>
      </c>
    </row>
    <row r="475" spans="1:19">
      <c r="A475" s="160"/>
      <c r="B475" s="59"/>
      <c r="C475" s="24">
        <f t="shared" si="80"/>
        <v>1</v>
      </c>
      <c r="D475" s="720"/>
      <c r="E475" s="24">
        <f t="shared" si="81"/>
        <v>0.06</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7">
        <f t="shared" si="88"/>
        <v>0</v>
      </c>
      <c r="S475" s="362">
        <f t="shared" si="79"/>
        <v>0</v>
      </c>
    </row>
    <row r="476" spans="1:19">
      <c r="A476" s="160"/>
      <c r="B476" s="59"/>
      <c r="C476" s="24">
        <f t="shared" si="80"/>
        <v>1</v>
      </c>
      <c r="D476" s="720"/>
      <c r="E476" s="24">
        <f t="shared" si="81"/>
        <v>0.06</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7">
        <f t="shared" si="88"/>
        <v>0</v>
      </c>
      <c r="S476" s="362">
        <f t="shared" si="79"/>
        <v>0</v>
      </c>
    </row>
    <row r="477" spans="1:19">
      <c r="A477" s="160"/>
      <c r="B477" s="59"/>
      <c r="C477" s="24">
        <f t="shared" si="80"/>
        <v>1</v>
      </c>
      <c r="D477" s="720"/>
      <c r="E477" s="24">
        <f t="shared" si="81"/>
        <v>0.06</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7">
        <f t="shared" si="88"/>
        <v>0</v>
      </c>
      <c r="S477" s="362">
        <f t="shared" si="79"/>
        <v>0</v>
      </c>
    </row>
    <row r="478" spans="1:19">
      <c r="A478" s="160"/>
      <c r="B478" s="59"/>
      <c r="C478" s="24">
        <f t="shared" si="80"/>
        <v>1</v>
      </c>
      <c r="D478" s="720"/>
      <c r="E478" s="24">
        <f t="shared" si="81"/>
        <v>0.06</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7">
        <f t="shared" si="88"/>
        <v>0</v>
      </c>
      <c r="S478" s="362">
        <f t="shared" si="79"/>
        <v>0</v>
      </c>
    </row>
    <row r="479" spans="1:19">
      <c r="A479" s="160"/>
      <c r="B479" s="59"/>
      <c r="C479" s="24">
        <f t="shared" si="80"/>
        <v>1</v>
      </c>
      <c r="D479" s="720"/>
      <c r="E479" s="24">
        <f t="shared" si="81"/>
        <v>0.06</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7">
        <f t="shared" si="88"/>
        <v>0</v>
      </c>
      <c r="S479" s="362">
        <f t="shared" si="79"/>
        <v>0</v>
      </c>
    </row>
    <row r="480" spans="1:19">
      <c r="A480" s="160"/>
      <c r="B480" s="59"/>
      <c r="C480" s="24">
        <f t="shared" si="80"/>
        <v>1</v>
      </c>
      <c r="D480" s="720"/>
      <c r="E480" s="24">
        <f t="shared" si="81"/>
        <v>0.06</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7">
        <f t="shared" si="88"/>
        <v>0</v>
      </c>
      <c r="S480" s="362">
        <f t="shared" si="79"/>
        <v>0</v>
      </c>
    </row>
    <row r="481" spans="1:19">
      <c r="A481" s="160"/>
      <c r="B481" s="59"/>
      <c r="C481" s="24">
        <f t="shared" si="80"/>
        <v>1</v>
      </c>
      <c r="D481" s="720"/>
      <c r="E481" s="24">
        <f t="shared" si="81"/>
        <v>0.06</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7">
        <f t="shared" si="88"/>
        <v>0</v>
      </c>
      <c r="S481" s="362">
        <f t="shared" si="79"/>
        <v>0</v>
      </c>
    </row>
    <row r="482" spans="1:19">
      <c r="A482" s="160"/>
      <c r="B482" s="59"/>
      <c r="C482" s="24">
        <f t="shared" si="80"/>
        <v>1</v>
      </c>
      <c r="D482" s="720"/>
      <c r="E482" s="24">
        <f t="shared" si="81"/>
        <v>0.06</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7">
        <f t="shared" si="88"/>
        <v>0</v>
      </c>
      <c r="S482" s="362">
        <f t="shared" si="79"/>
        <v>0</v>
      </c>
    </row>
    <row r="483" spans="1:19">
      <c r="A483" s="160"/>
      <c r="B483" s="59"/>
      <c r="C483" s="24">
        <f t="shared" si="80"/>
        <v>1</v>
      </c>
      <c r="D483" s="720"/>
      <c r="E483" s="24">
        <f t="shared" si="81"/>
        <v>0.06</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7">
        <f t="shared" si="88"/>
        <v>0</v>
      </c>
      <c r="S483" s="362">
        <f t="shared" si="79"/>
        <v>0</v>
      </c>
    </row>
    <row r="484" spans="1:19">
      <c r="A484" s="160"/>
      <c r="B484" s="59"/>
      <c r="C484" s="24">
        <f t="shared" si="80"/>
        <v>1</v>
      </c>
      <c r="D484" s="720"/>
      <c r="E484" s="24">
        <f t="shared" si="81"/>
        <v>0.06</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7">
        <f t="shared" si="88"/>
        <v>0</v>
      </c>
      <c r="S484" s="362">
        <f t="shared" si="79"/>
        <v>0</v>
      </c>
    </row>
    <row r="485" spans="1:19">
      <c r="A485" s="160"/>
      <c r="B485" s="59"/>
      <c r="C485" s="24">
        <f t="shared" si="80"/>
        <v>1</v>
      </c>
      <c r="D485" s="720"/>
      <c r="E485" s="24">
        <f t="shared" si="81"/>
        <v>0.06</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7">
        <f t="shared" si="88"/>
        <v>0</v>
      </c>
      <c r="S485" s="362">
        <f t="shared" si="79"/>
        <v>0</v>
      </c>
    </row>
    <row r="486" spans="1:19">
      <c r="A486" s="160"/>
      <c r="B486" s="59"/>
      <c r="C486" s="24">
        <f t="shared" si="80"/>
        <v>1</v>
      </c>
      <c r="D486" s="720"/>
      <c r="E486" s="24">
        <f t="shared" si="81"/>
        <v>0.06</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7">
        <f t="shared" si="88"/>
        <v>0</v>
      </c>
      <c r="S486" s="362">
        <f t="shared" si="79"/>
        <v>0</v>
      </c>
    </row>
    <row r="487" spans="1:19">
      <c r="A487" s="160"/>
      <c r="B487" s="59"/>
      <c r="C487" s="24">
        <f t="shared" si="80"/>
        <v>1</v>
      </c>
      <c r="D487" s="720"/>
      <c r="E487" s="24">
        <f t="shared" si="81"/>
        <v>0.06</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7">
        <f t="shared" si="88"/>
        <v>0</v>
      </c>
      <c r="S487" s="362">
        <f t="shared" si="79"/>
        <v>0</v>
      </c>
    </row>
    <row r="488" spans="1:19">
      <c r="A488" s="160"/>
      <c r="B488" s="59"/>
      <c r="C488" s="24">
        <f t="shared" si="80"/>
        <v>1</v>
      </c>
      <c r="D488" s="720"/>
      <c r="E488" s="24">
        <f t="shared" si="81"/>
        <v>0.06</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7">
        <f t="shared" si="88"/>
        <v>0</v>
      </c>
      <c r="S488" s="362">
        <f t="shared" si="79"/>
        <v>0</v>
      </c>
    </row>
    <row r="489" spans="1:19">
      <c r="A489" s="160"/>
      <c r="B489" s="59"/>
      <c r="C489" s="24">
        <f t="shared" si="80"/>
        <v>1</v>
      </c>
      <c r="D489" s="720"/>
      <c r="E489" s="24">
        <f t="shared" si="81"/>
        <v>0.06</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7">
        <f t="shared" si="88"/>
        <v>0</v>
      </c>
      <c r="S489" s="362">
        <f t="shared" si="79"/>
        <v>0</v>
      </c>
    </row>
    <row r="490" spans="1:19">
      <c r="A490" s="160"/>
      <c r="B490" s="59"/>
      <c r="C490" s="24">
        <f t="shared" si="80"/>
        <v>1</v>
      </c>
      <c r="D490" s="720"/>
      <c r="E490" s="24">
        <f t="shared" si="81"/>
        <v>0.06</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7">
        <f t="shared" si="88"/>
        <v>0</v>
      </c>
      <c r="S490" s="362">
        <f t="shared" si="79"/>
        <v>0</v>
      </c>
    </row>
    <row r="491" spans="1:19">
      <c r="A491" s="160"/>
      <c r="B491" s="59"/>
      <c r="C491" s="24">
        <f t="shared" si="80"/>
        <v>1</v>
      </c>
      <c r="D491" s="720"/>
      <c r="E491" s="24">
        <f t="shared" si="81"/>
        <v>0.06</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7">
        <f t="shared" si="88"/>
        <v>0</v>
      </c>
      <c r="S491" s="362">
        <f t="shared" si="79"/>
        <v>0</v>
      </c>
    </row>
    <row r="492" spans="1:19">
      <c r="A492" s="160"/>
      <c r="B492" s="59"/>
      <c r="C492" s="24">
        <f t="shared" si="80"/>
        <v>1</v>
      </c>
      <c r="D492" s="720"/>
      <c r="E492" s="24">
        <f t="shared" si="81"/>
        <v>0.06</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7">
        <f t="shared" si="88"/>
        <v>0</v>
      </c>
      <c r="S492" s="362">
        <f t="shared" si="79"/>
        <v>0</v>
      </c>
    </row>
    <row r="493" spans="1:19">
      <c r="A493" s="160"/>
      <c r="B493" s="59"/>
      <c r="C493" s="24">
        <f t="shared" si="80"/>
        <v>1</v>
      </c>
      <c r="D493" s="720"/>
      <c r="E493" s="24">
        <f t="shared" si="81"/>
        <v>0.06</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7">
        <f t="shared" si="88"/>
        <v>0</v>
      </c>
      <c r="S493" s="362">
        <f t="shared" si="79"/>
        <v>0</v>
      </c>
    </row>
    <row r="494" spans="1:19">
      <c r="A494" s="160"/>
      <c r="B494" s="59"/>
      <c r="C494" s="24">
        <f t="shared" si="80"/>
        <v>1</v>
      </c>
      <c r="D494" s="720"/>
      <c r="E494" s="24">
        <f t="shared" si="81"/>
        <v>0.06</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7">
        <f t="shared" si="88"/>
        <v>0</v>
      </c>
      <c r="S494" s="362">
        <f t="shared" si="79"/>
        <v>0</v>
      </c>
    </row>
    <row r="495" spans="1:19">
      <c r="A495" s="160"/>
      <c r="B495" s="59"/>
      <c r="C495" s="24">
        <f t="shared" si="80"/>
        <v>1</v>
      </c>
      <c r="D495" s="720"/>
      <c r="E495" s="24">
        <f t="shared" si="81"/>
        <v>0.06</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7">
        <f t="shared" si="88"/>
        <v>0</v>
      </c>
      <c r="S495" s="362">
        <f t="shared" si="79"/>
        <v>0</v>
      </c>
    </row>
    <row r="496" spans="1:19">
      <c r="A496" s="160"/>
      <c r="B496" s="59"/>
      <c r="C496" s="24">
        <f t="shared" si="80"/>
        <v>1</v>
      </c>
      <c r="D496" s="720"/>
      <c r="E496" s="24">
        <f t="shared" si="81"/>
        <v>0.06</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7">
        <f t="shared" si="88"/>
        <v>0</v>
      </c>
      <c r="S496" s="362">
        <f t="shared" si="79"/>
        <v>0</v>
      </c>
    </row>
    <row r="497" spans="1:19">
      <c r="A497" s="160"/>
      <c r="B497" s="59"/>
      <c r="C497" s="24">
        <f t="shared" si="80"/>
        <v>1</v>
      </c>
      <c r="D497" s="720"/>
      <c r="E497" s="24">
        <f t="shared" si="81"/>
        <v>0.06</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7">
        <f t="shared" si="88"/>
        <v>0</v>
      </c>
      <c r="S497" s="362">
        <f t="shared" si="79"/>
        <v>0</v>
      </c>
    </row>
    <row r="498" spans="1:19">
      <c r="A498" s="160"/>
      <c r="B498" s="59"/>
      <c r="C498" s="24">
        <f t="shared" si="80"/>
        <v>1</v>
      </c>
      <c r="D498" s="720"/>
      <c r="E498" s="24">
        <f t="shared" si="81"/>
        <v>0.06</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7">
        <f t="shared" si="88"/>
        <v>0</v>
      </c>
      <c r="S498" s="362">
        <f t="shared" ref="S498:S524" si="89">ROUND(R498*B498/10000,0)</f>
        <v>0</v>
      </c>
    </row>
    <row r="499" spans="1:19">
      <c r="A499" s="160"/>
      <c r="B499" s="59"/>
      <c r="C499" s="24">
        <f t="shared" si="80"/>
        <v>1</v>
      </c>
      <c r="D499" s="720"/>
      <c r="E499" s="24">
        <f t="shared" si="81"/>
        <v>0.06</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7">
        <f t="shared" si="88"/>
        <v>0</v>
      </c>
      <c r="S499" s="362">
        <f t="shared" si="89"/>
        <v>0</v>
      </c>
    </row>
    <row r="500" spans="1:19">
      <c r="A500" s="160"/>
      <c r="B500" s="59"/>
      <c r="C500" s="24">
        <f t="shared" si="80"/>
        <v>1</v>
      </c>
      <c r="D500" s="720"/>
      <c r="E500" s="24">
        <f t="shared" si="81"/>
        <v>0.06</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7">
        <f t="shared" si="88"/>
        <v>0</v>
      </c>
      <c r="S500" s="362">
        <f t="shared" si="89"/>
        <v>0</v>
      </c>
    </row>
    <row r="501" spans="1:19">
      <c r="A501" s="160"/>
      <c r="B501" s="59"/>
      <c r="C501" s="24">
        <f t="shared" si="80"/>
        <v>1</v>
      </c>
      <c r="D501" s="720"/>
      <c r="E501" s="24">
        <f t="shared" si="81"/>
        <v>0.06</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7">
        <f t="shared" si="88"/>
        <v>0</v>
      </c>
      <c r="S501" s="362">
        <f t="shared" si="89"/>
        <v>0</v>
      </c>
    </row>
    <row r="502" spans="1:19">
      <c r="A502" s="160"/>
      <c r="B502" s="59"/>
      <c r="C502" s="24">
        <f t="shared" si="80"/>
        <v>1</v>
      </c>
      <c r="D502" s="720"/>
      <c r="E502" s="24">
        <f t="shared" si="81"/>
        <v>0.06</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7">
        <f t="shared" si="88"/>
        <v>0</v>
      </c>
      <c r="S502" s="362">
        <f t="shared" si="89"/>
        <v>0</v>
      </c>
    </row>
    <row r="503" spans="1:19">
      <c r="A503" s="160"/>
      <c r="B503" s="59"/>
      <c r="C503" s="24">
        <f t="shared" si="80"/>
        <v>1</v>
      </c>
      <c r="D503" s="720"/>
      <c r="E503" s="24">
        <f t="shared" si="81"/>
        <v>0.06</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7">
        <f t="shared" si="88"/>
        <v>0</v>
      </c>
      <c r="S503" s="362">
        <f t="shared" si="89"/>
        <v>0</v>
      </c>
    </row>
    <row r="504" spans="1:19">
      <c r="A504" s="160"/>
      <c r="B504" s="59"/>
      <c r="C504" s="24">
        <f t="shared" si="80"/>
        <v>1</v>
      </c>
      <c r="D504" s="720"/>
      <c r="E504" s="24">
        <f t="shared" si="81"/>
        <v>0.06</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7">
        <f t="shared" si="88"/>
        <v>0</v>
      </c>
      <c r="S504" s="362">
        <f t="shared" si="89"/>
        <v>0</v>
      </c>
    </row>
    <row r="505" spans="1:19">
      <c r="A505" s="160"/>
      <c r="B505" s="59"/>
      <c r="C505" s="24">
        <f t="shared" si="80"/>
        <v>1</v>
      </c>
      <c r="D505" s="720"/>
      <c r="E505" s="24">
        <f t="shared" si="81"/>
        <v>0.06</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7">
        <f t="shared" si="88"/>
        <v>0</v>
      </c>
      <c r="S505" s="362">
        <f t="shared" si="89"/>
        <v>0</v>
      </c>
    </row>
    <row r="506" spans="1:19">
      <c r="A506" s="160"/>
      <c r="B506" s="59"/>
      <c r="C506" s="24">
        <f t="shared" si="80"/>
        <v>1</v>
      </c>
      <c r="D506" s="720"/>
      <c r="E506" s="24">
        <f t="shared" si="81"/>
        <v>0.06</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7">
        <f t="shared" si="88"/>
        <v>0</v>
      </c>
      <c r="S506" s="362">
        <f t="shared" si="89"/>
        <v>0</v>
      </c>
    </row>
    <row r="507" spans="1:19">
      <c r="A507" s="160"/>
      <c r="B507" s="59"/>
      <c r="C507" s="24">
        <f t="shared" si="80"/>
        <v>1</v>
      </c>
      <c r="D507" s="720"/>
      <c r="E507" s="24">
        <f t="shared" si="81"/>
        <v>0.06</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7">
        <f t="shared" si="88"/>
        <v>0</v>
      </c>
      <c r="S507" s="362">
        <f t="shared" si="89"/>
        <v>0</v>
      </c>
    </row>
    <row r="508" spans="1:19">
      <c r="A508" s="160"/>
      <c r="B508" s="59"/>
      <c r="C508" s="24">
        <f t="shared" si="80"/>
        <v>1</v>
      </c>
      <c r="D508" s="720"/>
      <c r="E508" s="24">
        <f t="shared" si="81"/>
        <v>0.06</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7">
        <f t="shared" si="88"/>
        <v>0</v>
      </c>
      <c r="S508" s="362">
        <f t="shared" si="89"/>
        <v>0</v>
      </c>
    </row>
    <row r="509" spans="1:19">
      <c r="A509" s="160"/>
      <c r="B509" s="59"/>
      <c r="C509" s="24">
        <f t="shared" si="80"/>
        <v>1</v>
      </c>
      <c r="D509" s="720"/>
      <c r="E509" s="24">
        <f t="shared" si="81"/>
        <v>0.06</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7">
        <f t="shared" si="88"/>
        <v>0</v>
      </c>
      <c r="S509" s="362">
        <f t="shared" si="89"/>
        <v>0</v>
      </c>
    </row>
    <row r="510" spans="1:19">
      <c r="A510" s="160"/>
      <c r="B510" s="59"/>
      <c r="C510" s="24">
        <f t="shared" si="80"/>
        <v>1</v>
      </c>
      <c r="D510" s="720"/>
      <c r="E510" s="24">
        <f t="shared" si="81"/>
        <v>0.06</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7">
        <f t="shared" si="88"/>
        <v>0</v>
      </c>
      <c r="S510" s="362">
        <f t="shared" si="89"/>
        <v>0</v>
      </c>
    </row>
    <row r="511" spans="1:19">
      <c r="A511" s="160"/>
      <c r="B511" s="59"/>
      <c r="C511" s="24">
        <f t="shared" si="80"/>
        <v>1</v>
      </c>
      <c r="D511" s="720"/>
      <c r="E511" s="24">
        <f t="shared" si="81"/>
        <v>0.06</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7">
        <f t="shared" si="88"/>
        <v>0</v>
      </c>
      <c r="S511" s="362">
        <f t="shared" si="89"/>
        <v>0</v>
      </c>
    </row>
    <row r="512" spans="1:19">
      <c r="A512" s="160"/>
      <c r="B512" s="59"/>
      <c r="C512" s="24">
        <f t="shared" si="80"/>
        <v>1</v>
      </c>
      <c r="D512" s="720"/>
      <c r="E512" s="24">
        <f t="shared" si="81"/>
        <v>0.06</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7">
        <f t="shared" si="88"/>
        <v>0</v>
      </c>
      <c r="S512" s="362">
        <f t="shared" si="89"/>
        <v>0</v>
      </c>
    </row>
    <row r="513" spans="1:19">
      <c r="A513" s="160"/>
      <c r="B513" s="59"/>
      <c r="C513" s="24">
        <f t="shared" si="80"/>
        <v>1</v>
      </c>
      <c r="D513" s="720"/>
      <c r="E513" s="24">
        <f t="shared" si="81"/>
        <v>0.06</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7">
        <f t="shared" si="88"/>
        <v>0</v>
      </c>
      <c r="S513" s="362">
        <f t="shared" si="89"/>
        <v>0</v>
      </c>
    </row>
    <row r="514" spans="1:19">
      <c r="A514" s="160"/>
      <c r="B514" s="59"/>
      <c r="C514" s="24">
        <f t="shared" si="80"/>
        <v>1</v>
      </c>
      <c r="D514" s="720"/>
      <c r="E514" s="24">
        <f t="shared" si="81"/>
        <v>0.06</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7">
        <f t="shared" si="88"/>
        <v>0</v>
      </c>
      <c r="S514" s="362">
        <f t="shared" si="89"/>
        <v>0</v>
      </c>
    </row>
    <row r="515" spans="1:19">
      <c r="A515" s="160"/>
      <c r="B515" s="59"/>
      <c r="C515" s="24">
        <f t="shared" si="80"/>
        <v>1</v>
      </c>
      <c r="D515" s="720"/>
      <c r="E515" s="24">
        <f t="shared" si="81"/>
        <v>0.06</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7">
        <f t="shared" si="88"/>
        <v>0</v>
      </c>
      <c r="S515" s="362">
        <f t="shared" si="89"/>
        <v>0</v>
      </c>
    </row>
    <row r="516" spans="1:19">
      <c r="A516" s="160"/>
      <c r="B516" s="59"/>
      <c r="C516" s="24">
        <f t="shared" si="80"/>
        <v>1</v>
      </c>
      <c r="D516" s="720"/>
      <c r="E516" s="24">
        <f t="shared" si="81"/>
        <v>0.06</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7">
        <f t="shared" si="88"/>
        <v>0</v>
      </c>
      <c r="S516" s="362">
        <f t="shared" si="89"/>
        <v>0</v>
      </c>
    </row>
    <row r="517" spans="1:19">
      <c r="A517" s="160"/>
      <c r="B517" s="59"/>
      <c r="C517" s="24">
        <f t="shared" si="80"/>
        <v>1</v>
      </c>
      <c r="D517" s="720"/>
      <c r="E517" s="24">
        <f t="shared" si="81"/>
        <v>0.06</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7">
        <f t="shared" si="88"/>
        <v>0</v>
      </c>
      <c r="S517" s="362">
        <f t="shared" si="89"/>
        <v>0</v>
      </c>
    </row>
    <row r="518" spans="1:19">
      <c r="A518" s="160"/>
      <c r="B518" s="59"/>
      <c r="C518" s="24">
        <f t="shared" si="80"/>
        <v>1</v>
      </c>
      <c r="D518" s="720"/>
      <c r="E518" s="24">
        <f t="shared" si="81"/>
        <v>0.06</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7">
        <f t="shared" si="88"/>
        <v>0</v>
      </c>
      <c r="S518" s="362">
        <f t="shared" si="89"/>
        <v>0</v>
      </c>
    </row>
    <row r="519" spans="1:19">
      <c r="A519" s="160"/>
      <c r="B519" s="59"/>
      <c r="C519" s="24">
        <f t="shared" si="80"/>
        <v>1</v>
      </c>
      <c r="D519" s="720"/>
      <c r="E519" s="24">
        <f t="shared" si="81"/>
        <v>0.06</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7">
        <f t="shared" si="88"/>
        <v>0</v>
      </c>
      <c r="S519" s="362">
        <f t="shared" si="89"/>
        <v>0</v>
      </c>
    </row>
    <row r="520" spans="1:19">
      <c r="A520" s="160"/>
      <c r="B520" s="59"/>
      <c r="C520" s="24">
        <f t="shared" si="80"/>
        <v>1</v>
      </c>
      <c r="D520" s="720"/>
      <c r="E520" s="24">
        <f t="shared" si="81"/>
        <v>0.06</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7">
        <f t="shared" si="88"/>
        <v>0</v>
      </c>
      <c r="S520" s="362">
        <f t="shared" si="89"/>
        <v>0</v>
      </c>
    </row>
    <row r="521" spans="1:19">
      <c r="A521" s="160"/>
      <c r="B521" s="59"/>
      <c r="C521" s="24">
        <f t="shared" si="80"/>
        <v>1</v>
      </c>
      <c r="D521" s="720"/>
      <c r="E521" s="24">
        <f t="shared" si="81"/>
        <v>0.06</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7">
        <f t="shared" si="88"/>
        <v>0</v>
      </c>
      <c r="S521" s="362">
        <f t="shared" si="89"/>
        <v>0</v>
      </c>
    </row>
    <row r="522" spans="1:19">
      <c r="A522" s="160"/>
      <c r="B522" s="59"/>
      <c r="C522" s="24">
        <f t="shared" si="80"/>
        <v>1</v>
      </c>
      <c r="D522" s="720"/>
      <c r="E522" s="24">
        <f t="shared" si="81"/>
        <v>0.06</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7">
        <f t="shared" si="88"/>
        <v>0</v>
      </c>
      <c r="S522" s="362">
        <f t="shared" si="89"/>
        <v>0</v>
      </c>
    </row>
    <row r="523" spans="1:19">
      <c r="A523" s="160"/>
      <c r="B523" s="59"/>
      <c r="C523" s="24">
        <f t="shared" si="80"/>
        <v>1</v>
      </c>
      <c r="D523" s="720"/>
      <c r="E523" s="24">
        <f t="shared" si="81"/>
        <v>0.06</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7">
        <f t="shared" si="88"/>
        <v>0</v>
      </c>
      <c r="S523" s="362">
        <f t="shared" si="89"/>
        <v>0</v>
      </c>
    </row>
    <row r="524" spans="1:19">
      <c r="A524" s="160"/>
      <c r="B524" s="59"/>
      <c r="C524" s="24">
        <f t="shared" si="80"/>
        <v>1</v>
      </c>
      <c r="D524" s="720"/>
      <c r="E524" s="24">
        <f t="shared" si="81"/>
        <v>0.06</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7">
        <f t="shared" si="88"/>
        <v>0</v>
      </c>
      <c r="S524" s="362">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40"/>
      <c r="C1" s="2556" t="s">
        <v>2426</v>
      </c>
      <c r="D1" s="243"/>
      <c r="E1" s="243"/>
      <c r="F1" s="243"/>
      <c r="G1" s="1381">
        <f>MATCH(B1,'数据-取费表'!A6:A16,0)+5</f>
        <v>7</v>
      </c>
      <c r="H1" s="1284" t="str">
        <f>IF(ISERROR(FIND("住宅",B1)),"非住宅","住宅")</f>
        <v>非住宅</v>
      </c>
    </row>
    <row r="2" spans="1:8" s="245" customFormat="1" ht="18" customHeight="1">
      <c r="A2" s="246" t="s">
        <v>2325</v>
      </c>
      <c r="B2" s="247">
        <f ca="1">ROUND(IF(D2="——",C52/10000,C52/10000-E2),0)</f>
        <v>50</v>
      </c>
      <c r="C2" s="244" t="s">
        <v>2326</v>
      </c>
      <c r="D2" s="2550" t="s">
        <v>70</v>
      </c>
      <c r="E2" s="1442" t="e">
        <f ca="1">SUMIF(INDIRECT("'"&amp;G2&amp;"'"&amp;"!A:A"),"承租人权益价值",INDIRECT("'"&amp;G2&amp;"'"&amp;"!c:c"))</f>
        <v>#REF!</v>
      </c>
      <c r="F2" s="2551" t="s">
        <v>2326</v>
      </c>
      <c r="G2" s="2552"/>
    </row>
    <row r="3" spans="1:8" s="245" customFormat="1" ht="18" customHeight="1" thickBot="1">
      <c r="A3" s="248" t="s">
        <v>2327</v>
      </c>
      <c r="B3" s="249">
        <f ca="1">ROUND(B2*10000/(IF(B1="",'数据-汇总表'!E3,INDIRECT("'数据-取费表'!k"&amp;$G$1))),0)</f>
        <v>5628</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17768</v>
      </c>
      <c r="D5" s="256" t="s">
        <v>2332</v>
      </c>
      <c r="E5" s="257" t="s">
        <v>2333</v>
      </c>
      <c r="F5" s="257" t="s">
        <v>2334</v>
      </c>
      <c r="G5" s="258"/>
    </row>
    <row r="6" spans="1:8" s="259" customFormat="1" ht="13.5" customHeight="1">
      <c r="A6" s="951" t="s">
        <v>2335</v>
      </c>
      <c r="B6" s="260" t="s">
        <v>2336</v>
      </c>
      <c r="C6" s="261"/>
      <c r="D6" s="262"/>
      <c r="E6" s="263"/>
      <c r="F6" s="263"/>
      <c r="G6" s="264"/>
    </row>
    <row r="7" spans="1:8" s="259" customFormat="1" ht="13.5" customHeight="1">
      <c r="A7" s="951" t="s">
        <v>2337</v>
      </c>
      <c r="B7" s="260" t="s">
        <v>2338</v>
      </c>
      <c r="C7" s="265">
        <f>ROUND(C6*F7,0)</f>
        <v>0</v>
      </c>
      <c r="D7" s="265"/>
      <c r="E7" s="263"/>
      <c r="F7" s="266">
        <f>'数据-取费表'!B48+'数据-取费表'!B49</f>
        <v>3.0499999999999999E-2</v>
      </c>
      <c r="G7" s="264"/>
    </row>
    <row r="8" spans="1:8" s="268" customFormat="1">
      <c r="A8" s="951" t="s">
        <v>2339</v>
      </c>
      <c r="B8" s="260" t="s">
        <v>2340</v>
      </c>
      <c r="C8" s="265">
        <f ca="1">IF(G8="已包含在土地购买价格中",0,C9+C10)</f>
        <v>17768</v>
      </c>
      <c r="D8" s="267"/>
      <c r="E8" s="265"/>
      <c r="F8" s="266"/>
      <c r="G8" s="2553"/>
    </row>
    <row r="9" spans="1:8" s="259" customFormat="1" ht="13.5" customHeight="1">
      <c r="A9" s="952" t="s">
        <v>800</v>
      </c>
      <c r="B9" s="269" t="s">
        <v>2341</v>
      </c>
      <c r="C9" s="270">
        <f ca="1">ROUND(D9*E9,0)</f>
        <v>17768</v>
      </c>
      <c r="D9" s="1034">
        <f ca="1">IF(B1="",'数据-汇总表'!E5,IF(INDIRECT("'数据-取费表'!c"&amp;$G$1)="住宅",INDIRECT("'数据-取费表'!k"&amp;$G$1),0))</f>
        <v>88.84</v>
      </c>
      <c r="E9" s="270">
        <f>'数据-取费表'!B27</f>
        <v>200</v>
      </c>
      <c r="F9" s="266"/>
      <c r="G9" s="271"/>
    </row>
    <row r="10" spans="1:8" s="259" customFormat="1" ht="13.5" customHeight="1">
      <c r="A10" s="952" t="s">
        <v>801</v>
      </c>
      <c r="B10" s="269" t="s">
        <v>2343</v>
      </c>
      <c r="C10" s="270">
        <f ca="1">ROUND(D10*E10,0)</f>
        <v>0</v>
      </c>
      <c r="D10" s="1034">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2344</v>
      </c>
      <c r="C11" s="256"/>
      <c r="D11" s="1036"/>
      <c r="E11" s="263"/>
      <c r="F11" s="263"/>
      <c r="G11" s="264"/>
    </row>
    <row r="12" spans="1:8" s="259" customFormat="1" ht="13.5" hidden="1" customHeight="1">
      <c r="A12" s="272" t="s">
        <v>8</v>
      </c>
      <c r="B12" s="260" t="s">
        <v>2427</v>
      </c>
      <c r="C12" s="256">
        <v>0</v>
      </c>
      <c r="D12" s="1036"/>
      <c r="E12" s="273"/>
      <c r="F12" s="266">
        <v>3.0499999999999999E-2</v>
      </c>
      <c r="G12" s="264"/>
    </row>
    <row r="13" spans="1:8" s="259" customFormat="1" ht="13.5" hidden="1" customHeight="1">
      <c r="A13" s="272" t="s">
        <v>9</v>
      </c>
      <c r="B13" s="260" t="s">
        <v>2428</v>
      </c>
      <c r="C13" s="256"/>
      <c r="D13" s="1036"/>
      <c r="E13" s="263"/>
      <c r="F13" s="263"/>
      <c r="G13" s="264"/>
    </row>
    <row r="14" spans="1:8" s="259" customFormat="1" ht="13.5" hidden="1" customHeight="1">
      <c r="A14" s="272" t="s">
        <v>10</v>
      </c>
      <c r="B14" s="260" t="s">
        <v>2340</v>
      </c>
      <c r="C14" s="256"/>
      <c r="D14" s="1036"/>
      <c r="E14" s="263"/>
      <c r="F14" s="263"/>
      <c r="G14" s="264" t="s">
        <v>2429</v>
      </c>
    </row>
    <row r="15" spans="1:8" s="259" customFormat="1" ht="13.5" hidden="1" customHeight="1">
      <c r="A15" s="272" t="s">
        <v>11</v>
      </c>
      <c r="B15" s="260" t="s">
        <v>2430</v>
      </c>
      <c r="C15" s="265"/>
      <c r="D15" s="1036"/>
      <c r="E15" s="263"/>
      <c r="F15" s="263"/>
      <c r="G15" s="264" t="s">
        <v>2431</v>
      </c>
    </row>
    <row r="16" spans="1:8" s="259" customFormat="1" ht="13.5" hidden="1" customHeight="1">
      <c r="A16" s="272" t="s">
        <v>12</v>
      </c>
      <c r="B16" s="260" t="s">
        <v>2340</v>
      </c>
      <c r="C16" s="265"/>
      <c r="D16" s="1036"/>
      <c r="E16" s="263"/>
      <c r="F16" s="263"/>
      <c r="G16" s="264"/>
    </row>
    <row r="17" spans="1:7" s="259" customFormat="1" ht="13.5" hidden="1" customHeight="1">
      <c r="A17" s="272" t="s">
        <v>13</v>
      </c>
      <c r="B17" s="260" t="s">
        <v>2432</v>
      </c>
      <c r="C17" s="274"/>
      <c r="D17" s="1037"/>
      <c r="E17" s="274"/>
      <c r="F17" s="274"/>
      <c r="G17" s="264" t="s">
        <v>2431</v>
      </c>
    </row>
    <row r="18" spans="1:7" s="259" customFormat="1" ht="13.5" hidden="1" customHeight="1">
      <c r="A18" s="272" t="s">
        <v>14</v>
      </c>
      <c r="B18" s="260" t="s">
        <v>2433</v>
      </c>
      <c r="C18" s="265">
        <v>0</v>
      </c>
      <c r="D18" s="1036"/>
      <c r="E18" s="263"/>
      <c r="F18" s="266">
        <v>3.0499999999999999E-2</v>
      </c>
      <c r="G18" s="264" t="s">
        <v>2434</v>
      </c>
    </row>
    <row r="19" spans="1:7" s="268" customFormat="1" ht="13.5" customHeight="1">
      <c r="A19" s="300" t="s">
        <v>2435</v>
      </c>
      <c r="B19" s="255" t="s">
        <v>2436</v>
      </c>
      <c r="C19" s="256">
        <f ca="1">IF(G19="已包含在土地取得成本中","0",ROUND(D19*E19,0))</f>
        <v>17768</v>
      </c>
      <c r="D19" s="1038">
        <f ca="1">D9+D10</f>
        <v>88.84</v>
      </c>
      <c r="E19" s="256">
        <f>'数据-取费表'!B31</f>
        <v>200</v>
      </c>
      <c r="F19" s="276"/>
      <c r="G19" s="2553"/>
    </row>
    <row r="20" spans="1:7" s="259" customFormat="1" ht="13.5" customHeight="1">
      <c r="A20" s="300" t="s">
        <v>2437</v>
      </c>
      <c r="B20" s="255" t="s">
        <v>2438</v>
      </c>
      <c r="C20" s="277">
        <f ca="1">ROUND((C5+C19)*F20,0)</f>
        <v>711</v>
      </c>
      <c r="D20" s="277"/>
      <c r="E20" s="277"/>
      <c r="F20" s="278">
        <f>'数据-取费表'!B37</f>
        <v>0.02</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2">
        <f ca="1">ROUND(SUM(C23:C25),0)</f>
        <v>3490</v>
      </c>
      <c r="D22" s="280">
        <f ca="1">C26</f>
        <v>1E-3</v>
      </c>
      <c r="E22" s="281" t="s">
        <v>2442</v>
      </c>
      <c r="F22" s="282">
        <f ca="1">'数据-取费表'!B40</f>
        <v>4.7500000000000001E-2</v>
      </c>
      <c r="G22" s="279" t="str">
        <f>IF('数据-取费表'!B22&lt;=1,"单利计息","复利计息")</f>
        <v>复利计息</v>
      </c>
    </row>
    <row r="23" spans="1:7" s="259" customFormat="1" ht="13.5" customHeight="1">
      <c r="A23" s="953" t="s">
        <v>2335</v>
      </c>
      <c r="B23" s="260" t="s">
        <v>2446</v>
      </c>
      <c r="C23" s="1383">
        <f ca="1">ROUND(IF('数据-取费表'!B22&lt;=1,C5*F22*'数据-取费表'!B22,C5*(POWER((1+F22),'数据-取费表'!B22)-1)),0)</f>
        <v>1728</v>
      </c>
      <c r="D23" s="283"/>
      <c r="E23" s="283"/>
      <c r="F23" s="284"/>
      <c r="G23" s="285" t="s">
        <v>2447</v>
      </c>
    </row>
    <row r="24" spans="1:7" s="259" customFormat="1" ht="13.5" customHeight="1">
      <c r="A24" s="953" t="s">
        <v>2337</v>
      </c>
      <c r="B24" s="260" t="s">
        <v>2448</v>
      </c>
      <c r="C24" s="1383">
        <f ca="1">ROUND(IF('数据-取费表'!B22&lt;=1,C19*F22*('数据-取费表'!B19/2+'数据-取费表'!B20),C19*(POWER((1+F22),('数据-取费表'!B19/2+'数据-取费表'!B20))-1)),0)</f>
        <v>1728</v>
      </c>
      <c r="D24" s="283"/>
      <c r="E24" s="283"/>
      <c r="F24" s="284"/>
      <c r="G24" s="285" t="s">
        <v>2449</v>
      </c>
    </row>
    <row r="25" spans="1:7" s="259" customFormat="1" ht="24">
      <c r="A25" s="953" t="s">
        <v>2339</v>
      </c>
      <c r="B25" s="260" t="s">
        <v>2450</v>
      </c>
      <c r="C25" s="1383">
        <f ca="1">ROUND(IF('数据-取费表'!B22&lt;=1,C20*F22*'数据-取费表'!B22/2,C20*(POWER((1+F22),'数据-取费表'!B22/2)-1)),0)</f>
        <v>34</v>
      </c>
      <c r="D25" s="283"/>
      <c r="E25" s="286"/>
      <c r="F25" s="284"/>
      <c r="G25" s="287" t="s">
        <v>2451</v>
      </c>
    </row>
    <row r="26" spans="1:7" s="259" customFormat="1">
      <c r="A26" s="953" t="s">
        <v>795</v>
      </c>
      <c r="B26" s="260" t="s">
        <v>2374</v>
      </c>
      <c r="C26" s="283">
        <f ca="1">ROUND(IF('数据-取费表'!B22&lt;=1,F21*F22*'数据-取费表'!B22/2,F21*(POWER((1+F22),'数据-取费表'!B22/2)-1)),4)</f>
        <v>1E-3</v>
      </c>
      <c r="D26" s="283"/>
      <c r="E26" s="286"/>
      <c r="F26" s="284"/>
      <c r="G26" s="288"/>
    </row>
    <row r="27" spans="1:7" s="259" customFormat="1" ht="24.75">
      <c r="A27" s="300" t="s">
        <v>2375</v>
      </c>
      <c r="B27" s="289" t="s">
        <v>2376</v>
      </c>
      <c r="C27" s="290">
        <f ca="1">C28</f>
        <v>7249</v>
      </c>
      <c r="D27" s="280">
        <f ca="1">C29</f>
        <v>4.0000000000000001E-3</v>
      </c>
      <c r="E27" s="281" t="s">
        <v>2377</v>
      </c>
      <c r="F27" s="291">
        <f ca="1">IF(B1="",'数据-取费表'!Q16,INDIRECT("'数据-取费表'!q"&amp;$G$1))</f>
        <v>0.2</v>
      </c>
      <c r="G27" s="292" t="s">
        <v>2378</v>
      </c>
    </row>
    <row r="28" spans="1:7" s="259" customFormat="1" ht="13.5" customHeight="1">
      <c r="A28" s="953" t="s">
        <v>791</v>
      </c>
      <c r="B28" s="293" t="s">
        <v>2379</v>
      </c>
      <c r="C28" s="294">
        <f ca="1">ROUND((C5+C19+C20)*F27,0)</f>
        <v>7249</v>
      </c>
      <c r="D28" s="280"/>
      <c r="E28" s="281"/>
      <c r="F28" s="291"/>
      <c r="G28" s="292"/>
    </row>
    <row r="29" spans="1:7" s="259" customFormat="1" ht="13.5" customHeight="1">
      <c r="A29" s="953" t="s">
        <v>792</v>
      </c>
      <c r="B29" s="293" t="s">
        <v>2380</v>
      </c>
      <c r="C29" s="283">
        <f ca="1">ROUND(C21*F27,4)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50978</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358247</v>
      </c>
      <c r="D33" s="277"/>
      <c r="E33" s="257"/>
      <c r="F33" s="286"/>
      <c r="G33" s="279"/>
    </row>
    <row r="34" spans="1:7" s="303" customFormat="1" ht="13.5" customHeight="1">
      <c r="A34" s="953" t="s">
        <v>791</v>
      </c>
      <c r="B34" s="260" t="s">
        <v>2388</v>
      </c>
      <c r="C34" s="265">
        <f ca="1">ROUND(IF(B1="",SUMPRODUCT('数据-取费表'!K6:K14,'数据-取费表'!L6:L14),INDIRECT("'数据-取费表'!l"&amp;$G$1)*INDIRECT("'数据-取费表'!k"&amp;$G$1)+'数据-取费表'!L14*INDIRECT("'数据-取费表'!S"&amp;$G$1)),0)</f>
        <v>310940</v>
      </c>
      <c r="D34" s="262"/>
      <c r="E34" s="265"/>
      <c r="F34" s="302"/>
      <c r="G34" s="264"/>
    </row>
    <row r="35" spans="1:7" ht="13.5" customHeight="1">
      <c r="A35" s="953" t="s">
        <v>796</v>
      </c>
      <c r="B35" s="260" t="s">
        <v>2390</v>
      </c>
      <c r="C35" s="265">
        <f ca="1">ROUND(C34*F35,0)</f>
        <v>9328</v>
      </c>
      <c r="D35" s="265"/>
      <c r="E35" s="265"/>
      <c r="F35" s="304">
        <f>'数据-取费表'!B33</f>
        <v>0.03</v>
      </c>
      <c r="G35" s="264" t="s">
        <v>2391</v>
      </c>
    </row>
    <row r="36" spans="1:7" ht="24">
      <c r="A36" s="953" t="s">
        <v>797</v>
      </c>
      <c r="B36" s="260" t="s">
        <v>2392</v>
      </c>
      <c r="C36" s="265">
        <f ca="1">ROUND(IF(B1="",SUM('数据-取费表'!AP6:AP13)*F36,IF(INDIRECT("'数据-取费表'!c"&amp;$G$1)="住宅",INDIRECT("'数据-取费表'!k"&amp;$G$1)*INDIRECT("'数据-取费表'!l"&amp;$G$1)*F36,0)),0)</f>
        <v>15547</v>
      </c>
      <c r="D36" s="265"/>
      <c r="E36" s="265"/>
      <c r="F36" s="304">
        <f>'数据-取费表'!B34</f>
        <v>0.05</v>
      </c>
      <c r="G36" s="305" t="s">
        <v>2393</v>
      </c>
    </row>
    <row r="37" spans="1:7" s="303" customFormat="1" ht="13.5" customHeight="1">
      <c r="A37" s="953" t="s">
        <v>798</v>
      </c>
      <c r="B37" s="260" t="s">
        <v>2394</v>
      </c>
      <c r="C37" s="294">
        <f ca="1">ROUND(E37*D37,0)</f>
        <v>17768</v>
      </c>
      <c r="D37" s="262">
        <f ca="1">D19</f>
        <v>88.84</v>
      </c>
      <c r="E37" s="294">
        <f>'数据-取费表'!B35</f>
        <v>200</v>
      </c>
      <c r="F37" s="304"/>
      <c r="G37" s="306"/>
    </row>
    <row r="38" spans="1:7" ht="13.5" customHeight="1">
      <c r="A38" s="953" t="s">
        <v>799</v>
      </c>
      <c r="B38" s="260" t="s">
        <v>2396</v>
      </c>
      <c r="C38" s="265">
        <f ca="1">ROUND(C34*F38,0)</f>
        <v>4664</v>
      </c>
      <c r="D38" s="265"/>
      <c r="E38" s="265"/>
      <c r="F38" s="304">
        <f>'数据-取费表'!B36</f>
        <v>1.4999999999999999E-2</v>
      </c>
      <c r="G38" s="264" t="s">
        <v>2391</v>
      </c>
    </row>
    <row r="39" spans="1:7" s="259" customFormat="1" ht="13.5" customHeight="1">
      <c r="A39" s="300" t="s">
        <v>2397</v>
      </c>
      <c r="B39" s="255" t="s">
        <v>2398</v>
      </c>
      <c r="C39" s="277">
        <f ca="1">ROUND(C33*F20,0)</f>
        <v>7165</v>
      </c>
      <c r="D39" s="277"/>
      <c r="E39" s="277"/>
      <c r="F39" s="278"/>
      <c r="G39" s="279" t="s">
        <v>2399</v>
      </c>
    </row>
    <row r="40" spans="1:7" s="259" customFormat="1" ht="13.5" customHeight="1">
      <c r="A40" s="300" t="s">
        <v>2400</v>
      </c>
      <c r="B40" s="255" t="s">
        <v>2401</v>
      </c>
      <c r="C40" s="1731">
        <f>F21</f>
        <v>0.02</v>
      </c>
      <c r="D40" s="281" t="s">
        <v>2402</v>
      </c>
      <c r="E40" s="277"/>
      <c r="F40" s="278"/>
      <c r="G40" s="279" t="s">
        <v>2403</v>
      </c>
    </row>
    <row r="41" spans="1:7" s="259" customFormat="1" ht="13.5" customHeight="1">
      <c r="A41" s="300" t="s">
        <v>2404</v>
      </c>
      <c r="B41" s="255" t="s">
        <v>2405</v>
      </c>
      <c r="C41" s="277">
        <f ca="1">ROUND(SUM(C42:C43),0)</f>
        <v>17357</v>
      </c>
      <c r="D41" s="280">
        <f ca="1">C44</f>
        <v>1E-3</v>
      </c>
      <c r="E41" s="281" t="s">
        <v>2402</v>
      </c>
      <c r="F41" s="282"/>
      <c r="G41" s="279" t="str">
        <f>IF('数据-取费表'!B22&lt;=1,"单利计息","复利计息")</f>
        <v>复利计息</v>
      </c>
    </row>
    <row r="42" spans="1:7" ht="13.5" customHeight="1">
      <c r="A42" s="953" t="s">
        <v>791</v>
      </c>
      <c r="B42" s="260" t="s">
        <v>2406</v>
      </c>
      <c r="C42" s="283">
        <f ca="1">ROUND(IF('数据-取费表'!B22&lt;=1,C33*F22*'数据-取费表'!B20/2,C33*(POWER((1+F22),'数据-取费表'!B20/2)-1)),0)</f>
        <v>17017</v>
      </c>
      <c r="D42" s="283"/>
      <c r="E42" s="283"/>
      <c r="F42" s="284"/>
      <c r="G42" s="3220" t="s">
        <v>2454</v>
      </c>
    </row>
    <row r="43" spans="1:7" ht="13.5" customHeight="1">
      <c r="A43" s="953" t="s">
        <v>792</v>
      </c>
      <c r="B43" s="260" t="s">
        <v>2408</v>
      </c>
      <c r="C43" s="283">
        <f ca="1">ROUND(IF('数据-取费表'!B22&lt;=1,C39*F22*'数据-取费表'!B20/2,C39*(POWER((1+F22),'数据-取费表'!B20/2)-1)),0)</f>
        <v>340</v>
      </c>
      <c r="D43" s="283"/>
      <c r="E43" s="283"/>
      <c r="F43" s="284"/>
      <c r="G43" s="3221"/>
    </row>
    <row r="44" spans="1:7" ht="13.5" customHeight="1">
      <c r="A44" s="953" t="s">
        <v>793</v>
      </c>
      <c r="B44" s="260" t="s">
        <v>2409</v>
      </c>
      <c r="C44" s="283">
        <f ca="1">ROUND(IF('数据-取费表'!B22&lt;=1,C40*F22*'数据-取费表'!B20/2,C40*(POWER((1+F22),'数据-取费表'!B20/2)-1)),4)</f>
        <v>1E-3</v>
      </c>
      <c r="D44" s="283"/>
      <c r="E44" s="283"/>
      <c r="F44" s="284"/>
      <c r="G44" s="3222"/>
    </row>
    <row r="45" spans="1:7" s="259" customFormat="1" ht="13.5" customHeight="1">
      <c r="A45" s="300" t="s">
        <v>2410</v>
      </c>
      <c r="B45" s="289" t="s">
        <v>2376</v>
      </c>
      <c r="C45" s="290">
        <f ca="1">C46</f>
        <v>73082</v>
      </c>
      <c r="D45" s="280">
        <f ca="1">C47</f>
        <v>4.0000000000000001E-3</v>
      </c>
      <c r="E45" s="281" t="s">
        <v>2402</v>
      </c>
      <c r="F45" s="291"/>
      <c r="G45" s="292" t="s">
        <v>2411</v>
      </c>
    </row>
    <row r="46" spans="1:7" s="259" customFormat="1" ht="13.5" customHeight="1">
      <c r="A46" s="953" t="s">
        <v>791</v>
      </c>
      <c r="B46" s="293" t="s">
        <v>2412</v>
      </c>
      <c r="C46" s="294">
        <f ca="1">ROUND((C33+C39)*F27,0)</f>
        <v>73082</v>
      </c>
      <c r="D46" s="308"/>
      <c r="E46" s="281"/>
      <c r="F46" s="291"/>
      <c r="G46" s="292"/>
    </row>
    <row r="47" spans="1:7" s="259" customFormat="1" ht="13.5" customHeight="1">
      <c r="A47" s="953" t="s">
        <v>792</v>
      </c>
      <c r="B47" s="293" t="s">
        <v>2413</v>
      </c>
      <c r="C47" s="283">
        <f ca="1">ROUND(C40*F27,4)</f>
        <v>4.0000000000000001E-3</v>
      </c>
      <c r="D47" s="308"/>
      <c r="E47" s="281"/>
      <c r="F47" s="291"/>
      <c r="G47" s="292"/>
    </row>
    <row r="48" spans="1:7" s="259" customFormat="1" ht="13.5" customHeight="1">
      <c r="A48" s="300" t="s">
        <v>2375</v>
      </c>
      <c r="B48" s="255" t="s">
        <v>2414</v>
      </c>
      <c r="C48" s="307">
        <f>ROUND(F30/(1+'数据-取费表'!C42),4)</f>
        <v>5.33E-2</v>
      </c>
      <c r="D48" s="281" t="s">
        <v>2402</v>
      </c>
      <c r="E48" s="277"/>
      <c r="F48" s="282"/>
      <c r="G48" s="279" t="s">
        <v>2415</v>
      </c>
    </row>
    <row r="49" spans="1:7" ht="16.5" customHeight="1">
      <c r="A49" s="300" t="s">
        <v>2381</v>
      </c>
      <c r="B49" s="255" t="s">
        <v>2455</v>
      </c>
      <c r="C49" s="277">
        <f ca="1">ROUND((C33+C39+C41+C45)/(1-C40-D41-D45-C48),0)</f>
        <v>494576</v>
      </c>
      <c r="D49" s="277"/>
      <c r="E49" s="277"/>
      <c r="F49" s="309"/>
      <c r="G49" s="279" t="s">
        <v>2417</v>
      </c>
    </row>
    <row r="50" spans="1:7" s="303" customFormat="1">
      <c r="A50" s="300" t="s">
        <v>2418</v>
      </c>
      <c r="B50" s="255" t="s">
        <v>2419</v>
      </c>
      <c r="C50" s="277"/>
      <c r="D50" s="277"/>
      <c r="E50" s="277"/>
      <c r="F50" s="309">
        <f>IF('数据-取费表'!B24=0,'数据-取费表'!N16,1)</f>
        <v>0.9</v>
      </c>
      <c r="G50" s="292"/>
    </row>
    <row r="51" spans="1:7" ht="16.5" customHeight="1">
      <c r="A51" s="300" t="s">
        <v>2421</v>
      </c>
      <c r="B51" s="255" t="s">
        <v>2456</v>
      </c>
      <c r="C51" s="277">
        <f ca="1">ROUND(C49*F50,0)</f>
        <v>445118</v>
      </c>
      <c r="D51" s="277"/>
      <c r="E51" s="277"/>
      <c r="F51" s="309"/>
      <c r="G51" s="279" t="s">
        <v>2423</v>
      </c>
    </row>
    <row r="52" spans="1:7" s="253" customFormat="1" ht="16.5" thickBot="1">
      <c r="A52" s="310" t="s">
        <v>2424</v>
      </c>
      <c r="B52" s="311"/>
      <c r="C52" s="312">
        <f ca="1">C31+C51</f>
        <v>496096</v>
      </c>
      <c r="D52" s="311"/>
      <c r="E52" s="311"/>
      <c r="F52" s="311"/>
      <c r="G52" s="313"/>
    </row>
    <row r="55" spans="1:7" ht="15">
      <c r="B55" s="315" t="s">
        <v>2425</v>
      </c>
      <c r="C55" s="316"/>
    </row>
    <row r="56" spans="1:7">
      <c r="B56" s="318" t="s">
        <v>1515</v>
      </c>
      <c r="C56" s="320">
        <f ca="1">1-C57</f>
        <v>0.10299999999999998</v>
      </c>
    </row>
    <row r="57" spans="1:7">
      <c r="B57" s="318" t="s">
        <v>1516</v>
      </c>
      <c r="C57" s="319">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585" t="s">
        <v>2639</v>
      </c>
      <c r="C1" s="1637" t="s">
        <v>2528</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9" customFormat="1" ht="28.5" customHeight="1" thickTop="1">
      <c r="A2" s="1620" t="s">
        <v>2325</v>
      </c>
      <c r="B2" s="1420" t="e">
        <f ca="1">IF(C2="——",ROUND(C49*D3/10000,0),ROUND(C49*D3/10000,0)-D2)</f>
        <v>#DIV/0!</v>
      </c>
      <c r="C2" s="2589"/>
      <c r="D2" s="1367" t="e">
        <f ca="1">SUMIF(INDIRECT("'"&amp;F2&amp;"'"&amp;"!A:A"),"承租人权益价值",INDIRECT("'"&amp;F2&amp;"'"&amp;"!c:c"))</f>
        <v>#REF!</v>
      </c>
      <c r="E2" s="2590" t="s">
        <v>2326</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9" customFormat="1" ht="28.5" customHeight="1" thickBot="1">
      <c r="A3" s="248" t="s">
        <v>2327</v>
      </c>
      <c r="B3" s="610" t="e">
        <f ca="1">IF(C2="——",C49,ROUND(B2*10000/D3,0))</f>
        <v>#DIV/0!</v>
      </c>
      <c r="C3" s="401" t="s">
        <v>2641</v>
      </c>
      <c r="D3" s="400">
        <f>IF(D1="",'数据-汇总表'!E3,SUMIF('数据-汇总表'!$C19:$C33,D1,'数据-汇总表'!$E19:$E33))</f>
        <v>88.84</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2" t="s">
        <v>2642</v>
      </c>
      <c r="B4" s="403"/>
      <c r="C4" s="3165" t="s">
        <v>2643</v>
      </c>
      <c r="D4" s="3166"/>
      <c r="E4" s="3167" t="s">
        <v>2644</v>
      </c>
      <c r="F4" s="3168"/>
      <c r="G4" s="3165" t="s">
        <v>2645</v>
      </c>
      <c r="H4" s="3166"/>
      <c r="I4" s="3165" t="s">
        <v>2646</v>
      </c>
      <c r="J4" s="3166"/>
      <c r="K4" s="611" t="s">
        <v>2647</v>
      </c>
      <c r="L4" s="1132"/>
      <c r="M4" s="1133"/>
      <c r="N4" s="1133"/>
      <c r="O4" s="1133"/>
      <c r="P4" s="3169" t="s">
        <v>2648</v>
      </c>
      <c r="Q4" s="3170"/>
      <c r="R4" s="3151" t="s">
        <v>2644</v>
      </c>
      <c r="S4" s="3152"/>
      <c r="T4" s="3151" t="s">
        <v>2645</v>
      </c>
      <c r="U4" s="3152"/>
      <c r="V4" s="3177" t="s">
        <v>2646</v>
      </c>
      <c r="W4" s="3177"/>
      <c r="X4" s="1816"/>
      <c r="Y4" s="3151" t="s">
        <v>2648</v>
      </c>
      <c r="Z4" s="3152"/>
      <c r="AA4" s="3146" t="s">
        <v>2644</v>
      </c>
      <c r="AB4" s="3177" t="s">
        <v>2645</v>
      </c>
      <c r="AC4" s="3146" t="s">
        <v>2646</v>
      </c>
    </row>
    <row r="5" spans="1:29" ht="15">
      <c r="A5" s="405"/>
      <c r="B5" s="406"/>
      <c r="C5" s="3157" t="s">
        <v>2540</v>
      </c>
      <c r="D5" s="3158"/>
      <c r="E5" s="3227" t="s">
        <v>2541</v>
      </c>
      <c r="F5" s="3156"/>
      <c r="G5" s="3157" t="s">
        <v>2542</v>
      </c>
      <c r="H5" s="3158"/>
      <c r="I5" s="3157" t="s">
        <v>2543</v>
      </c>
      <c r="J5" s="3158"/>
      <c r="K5" s="611"/>
      <c r="L5" s="1132"/>
      <c r="M5" s="1133"/>
      <c r="N5" s="1133"/>
      <c r="O5" s="1133"/>
      <c r="P5" s="3171"/>
      <c r="Q5" s="3172"/>
      <c r="R5" s="3153"/>
      <c r="S5" s="3154"/>
      <c r="T5" s="3153"/>
      <c r="U5" s="3154"/>
      <c r="V5" s="3177"/>
      <c r="W5" s="3177"/>
      <c r="X5" s="1816"/>
      <c r="Y5" s="3153"/>
      <c r="Z5" s="3154"/>
      <c r="AA5" s="3147"/>
      <c r="AB5" s="3177"/>
      <c r="AC5" s="3147"/>
    </row>
    <row r="6" spans="1:29" ht="15.75" thickBot="1">
      <c r="A6" s="407"/>
      <c r="B6" s="408"/>
      <c r="C6" s="3159" t="s">
        <v>2544</v>
      </c>
      <c r="D6" s="3160"/>
      <c r="E6" s="3162" t="s">
        <v>2544</v>
      </c>
      <c r="F6" s="3163"/>
      <c r="G6" s="3159" t="s">
        <v>2544</v>
      </c>
      <c r="H6" s="3160"/>
      <c r="I6" s="3159" t="s">
        <v>2544</v>
      </c>
      <c r="J6" s="3160"/>
      <c r="K6" s="611" t="s">
        <v>2545</v>
      </c>
      <c r="L6" s="1132"/>
      <c r="M6" s="1133"/>
      <c r="N6" s="1133"/>
      <c r="O6" s="1133"/>
      <c r="P6" s="3173"/>
      <c r="Q6" s="3174"/>
      <c r="R6" s="3153"/>
      <c r="S6" s="3154"/>
      <c r="T6" s="3175"/>
      <c r="U6" s="3176"/>
      <c r="V6" s="3177"/>
      <c r="W6" s="3177"/>
      <c r="X6" s="1816"/>
      <c r="Y6" s="3175"/>
      <c r="Z6" s="3176"/>
      <c r="AA6" s="3148"/>
      <c r="AB6" s="3177"/>
      <c r="AC6" s="3148"/>
    </row>
    <row r="7" spans="1:29" s="117" customFormat="1" ht="15.75" thickBot="1">
      <c r="A7" s="409" t="s">
        <v>2546</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4"/>
      <c r="M7" s="1135"/>
      <c r="N7" s="1135"/>
      <c r="O7" s="1135"/>
      <c r="P7" s="3149" t="s">
        <v>2547</v>
      </c>
      <c r="Q7" s="3178"/>
      <c r="R7" s="769" t="s">
        <v>17</v>
      </c>
      <c r="S7" s="770">
        <f t="shared" ref="S7:S15" si="0">F7</f>
        <v>0</v>
      </c>
      <c r="T7" s="769" t="s">
        <v>17</v>
      </c>
      <c r="U7" s="770">
        <f t="shared" ref="U7:U15" si="1">H7</f>
        <v>0</v>
      </c>
      <c r="V7" s="769" t="s">
        <v>17</v>
      </c>
      <c r="W7" s="770">
        <f t="shared" ref="W7:W15" si="2">J7</f>
        <v>0</v>
      </c>
      <c r="X7" s="771"/>
      <c r="Y7" s="3149" t="s">
        <v>2547</v>
      </c>
      <c r="Z7" s="3150"/>
      <c r="AA7" s="772" t="e">
        <f>D7/F7</f>
        <v>#DIV/0!</v>
      </c>
      <c r="AB7" s="772" t="e">
        <f>D7/H7</f>
        <v>#DIV/0!</v>
      </c>
      <c r="AC7" s="772" t="e">
        <f>D7/J7</f>
        <v>#DIV/0!</v>
      </c>
    </row>
    <row r="8" spans="1:29" s="117" customFormat="1" ht="15.75" thickBot="1">
      <c r="A8" s="409" t="s">
        <v>2548</v>
      </c>
      <c r="B8" s="410"/>
      <c r="C8" s="415" t="s">
        <v>2649</v>
      </c>
      <c r="D8" s="412">
        <v>100</v>
      </c>
      <c r="E8" s="415"/>
      <c r="F8" s="414">
        <f>SUMIF(61:61,E8,62:62)-SUMIF(61:61,C8,62:62)+100</f>
        <v>0</v>
      </c>
      <c r="G8" s="415"/>
      <c r="H8" s="412">
        <f>SUMIF(61:61,G8,62:62)-SUMIF(61:61,C8,62:62)+100</f>
        <v>0</v>
      </c>
      <c r="I8" s="415"/>
      <c r="J8" s="412">
        <f>SUMIF(61:61,I8,62:62)-SUMIF(61:61,C8,62:62)+100</f>
        <v>0</v>
      </c>
      <c r="K8" s="612"/>
      <c r="L8" s="1134"/>
      <c r="M8" s="1135"/>
      <c r="N8" s="1135"/>
      <c r="O8" s="1135"/>
      <c r="P8" s="3149" t="s">
        <v>2550</v>
      </c>
      <c r="Q8" s="3150"/>
      <c r="R8" s="769" t="s">
        <v>17</v>
      </c>
      <c r="S8" s="770">
        <f t="shared" si="0"/>
        <v>0</v>
      </c>
      <c r="T8" s="769" t="s">
        <v>17</v>
      </c>
      <c r="U8" s="770">
        <f t="shared" si="1"/>
        <v>0</v>
      </c>
      <c r="V8" s="769" t="s">
        <v>17</v>
      </c>
      <c r="W8" s="770">
        <f t="shared" si="2"/>
        <v>0</v>
      </c>
      <c r="X8" s="771"/>
      <c r="Y8" s="3149" t="s">
        <v>2550</v>
      </c>
      <c r="Z8" s="3150"/>
      <c r="AA8" s="772" t="e">
        <f t="shared" ref="AA8:AA46" si="3">D8/F8</f>
        <v>#DIV/0!</v>
      </c>
      <c r="AB8" s="772" t="e">
        <f t="shared" ref="AB8:AB46" si="4">D8/H8</f>
        <v>#DIV/0!</v>
      </c>
      <c r="AC8" s="772"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4"/>
      <c r="M9" s="1135"/>
      <c r="N9" s="1135"/>
      <c r="O9" s="1135"/>
      <c r="P9" s="3164" t="s">
        <v>2553</v>
      </c>
      <c r="Q9" s="1798" t="str">
        <f t="shared" ref="Q9:Q15" si="6">B9</f>
        <v>用途</v>
      </c>
      <c r="R9" s="769" t="s">
        <v>17</v>
      </c>
      <c r="S9" s="770">
        <f t="shared" si="0"/>
        <v>100</v>
      </c>
      <c r="T9" s="769" t="s">
        <v>17</v>
      </c>
      <c r="U9" s="770">
        <f t="shared" si="1"/>
        <v>100</v>
      </c>
      <c r="V9" s="769" t="s">
        <v>17</v>
      </c>
      <c r="W9" s="770">
        <f t="shared" si="2"/>
        <v>100</v>
      </c>
      <c r="X9" s="771"/>
      <c r="Y9" s="3026" t="s">
        <v>2554</v>
      </c>
      <c r="Z9" s="55" t="str">
        <f t="shared" ref="Z9:Z15" si="7">Q9</f>
        <v>用途</v>
      </c>
      <c r="AA9" s="772">
        <f t="shared" si="3"/>
        <v>1</v>
      </c>
      <c r="AB9" s="772">
        <f t="shared" si="4"/>
        <v>1</v>
      </c>
      <c r="AC9" s="772">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7"/>
      <c r="M10" s="1138"/>
      <c r="N10" s="1138"/>
      <c r="O10" s="1138"/>
      <c r="P10" s="3164"/>
      <c r="Q10" s="1798"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772">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0"/>
      <c r="M11" s="1133"/>
      <c r="N11" s="1133"/>
      <c r="O11" s="1133"/>
      <c r="P11" s="3164"/>
      <c r="Q11" s="1798"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772"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4"/>
      <c r="M12" s="1135"/>
      <c r="N12" s="1135"/>
      <c r="O12" s="1135"/>
      <c r="P12" s="3164"/>
      <c r="Q12" s="1798">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2"/>
      <c r="M13" s="1133"/>
      <c r="N13" s="1133"/>
      <c r="O13" s="1133"/>
      <c r="P13" s="3164"/>
      <c r="Q13" s="1798">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2"/>
      <c r="M14" s="1133"/>
      <c r="N14" s="1133"/>
      <c r="O14" s="1133"/>
      <c r="P14" s="3164"/>
      <c r="Q14" s="1798">
        <f t="shared" si="6"/>
        <v>111</v>
      </c>
      <c r="R14" s="769" t="s">
        <v>17</v>
      </c>
      <c r="S14" s="770">
        <f t="shared" si="0"/>
        <v>100</v>
      </c>
      <c r="T14" s="769" t="s">
        <v>17</v>
      </c>
      <c r="U14" s="770">
        <f t="shared" si="1"/>
        <v>100</v>
      </c>
      <c r="V14" s="769" t="s">
        <v>17</v>
      </c>
      <c r="W14" s="770">
        <f t="shared" si="2"/>
        <v>100</v>
      </c>
      <c r="X14" s="771"/>
      <c r="Y14" s="3026"/>
      <c r="Z14" s="55">
        <f t="shared" si="7"/>
        <v>111</v>
      </c>
      <c r="AA14" s="772">
        <f t="shared" si="3"/>
        <v>1</v>
      </c>
      <c r="AB14" s="772">
        <f t="shared" si="4"/>
        <v>1</v>
      </c>
      <c r="AC14" s="772">
        <f t="shared" si="5"/>
        <v>1</v>
      </c>
    </row>
    <row r="15" spans="1:29" ht="71.25">
      <c r="A15" s="441" t="s">
        <v>2557</v>
      </c>
      <c r="B15" s="69" t="s">
        <v>2650</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2"/>
      <c r="M15" s="1133"/>
      <c r="N15" s="1133"/>
      <c r="O15" s="1133"/>
      <c r="P15" s="3191" t="s">
        <v>2558</v>
      </c>
      <c r="Q15" s="1813" t="str">
        <f t="shared" si="6"/>
        <v>商业繁华度</v>
      </c>
      <c r="R15" s="773" t="s">
        <v>17</v>
      </c>
      <c r="S15" s="774">
        <f t="shared" si="0"/>
        <v>100</v>
      </c>
      <c r="T15" s="773" t="s">
        <v>17</v>
      </c>
      <c r="U15" s="774">
        <f t="shared" si="1"/>
        <v>100</v>
      </c>
      <c r="V15" s="773" t="s">
        <v>17</v>
      </c>
      <c r="W15" s="774">
        <f t="shared" si="2"/>
        <v>100</v>
      </c>
      <c r="X15" s="1816"/>
      <c r="Y15" s="3184" t="s">
        <v>2558</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2"/>
      <c r="M16" s="1133"/>
      <c r="N16" s="1133"/>
      <c r="O16" s="1133"/>
      <c r="P16" s="3192"/>
      <c r="Q16" s="1813"/>
      <c r="R16" s="773"/>
      <c r="S16" s="774"/>
      <c r="T16" s="773"/>
      <c r="U16" s="774"/>
      <c r="V16" s="773"/>
      <c r="W16" s="774"/>
      <c r="X16" s="1816"/>
      <c r="Y16" s="3185"/>
      <c r="Z16" s="1817"/>
      <c r="AA16" s="1814">
        <v>1</v>
      </c>
      <c r="AB16" s="1814">
        <v>1</v>
      </c>
      <c r="AC16" s="1814">
        <v>1</v>
      </c>
    </row>
    <row r="17" spans="1:29" ht="71.25">
      <c r="A17" s="429"/>
      <c r="B17" s="452" t="s">
        <v>2095</v>
      </c>
      <c r="C17" s="2610" t="str">
        <f>估价对象房地状况!C6</f>
        <v>估价对象周边道路通达、公共交通通达、停车便捷，综合评价交通便捷度好</v>
      </c>
      <c r="D17" s="451">
        <v>100</v>
      </c>
      <c r="E17" s="453"/>
      <c r="F17" s="454">
        <f>SUMIF(78:78,E18,79:79)-SUMIF(78:78,C18,79:79)+100</f>
        <v>100</v>
      </c>
      <c r="G17" s="455"/>
      <c r="H17" s="456">
        <f>SUMIF(78:78,G18,79:79)-SUMIF(78:78,C18,79:79)+100</f>
        <v>100</v>
      </c>
      <c r="I17" s="453"/>
      <c r="J17" s="456">
        <f>SUMIF(78:78,I18,79:79)-SUMIF(78:78,C18,79:79)+100</f>
        <v>100</v>
      </c>
      <c r="K17" s="615"/>
      <c r="L17" s="1142"/>
      <c r="M17" s="1133"/>
      <c r="N17" s="1133"/>
      <c r="O17" s="1133"/>
      <c r="P17" s="3192"/>
      <c r="Q17" s="1813" t="str">
        <f>B17</f>
        <v>交通便捷度</v>
      </c>
      <c r="R17" s="773" t="s">
        <v>17</v>
      </c>
      <c r="S17" s="774">
        <f>F17</f>
        <v>100</v>
      </c>
      <c r="T17" s="773" t="s">
        <v>17</v>
      </c>
      <c r="U17" s="774">
        <f>H17</f>
        <v>100</v>
      </c>
      <c r="V17" s="773" t="s">
        <v>17</v>
      </c>
      <c r="W17" s="774">
        <f>J17</f>
        <v>100</v>
      </c>
      <c r="X17" s="1816"/>
      <c r="Y17" s="3185"/>
      <c r="Z17" s="1817" t="str">
        <f>Q17</f>
        <v>交通便捷度</v>
      </c>
      <c r="AA17" s="1814">
        <f t="shared" si="3"/>
        <v>1</v>
      </c>
      <c r="AB17" s="1814">
        <f t="shared" si="4"/>
        <v>1</v>
      </c>
      <c r="AC17" s="1814">
        <f t="shared" si="5"/>
        <v>1</v>
      </c>
    </row>
    <row r="18" spans="1:29" ht="15">
      <c r="A18" s="429"/>
      <c r="B18" s="457"/>
      <c r="C18" s="2611"/>
      <c r="D18" s="451"/>
      <c r="E18" s="2613"/>
      <c r="F18" s="454"/>
      <c r="G18" s="2612"/>
      <c r="H18" s="449"/>
      <c r="I18" s="2613"/>
      <c r="J18" s="449"/>
      <c r="K18" s="616"/>
      <c r="L18" s="1142"/>
      <c r="M18" s="1133"/>
      <c r="N18" s="1133"/>
      <c r="O18" s="1133"/>
      <c r="P18" s="3192"/>
      <c r="Q18" s="1813"/>
      <c r="R18" s="773"/>
      <c r="S18" s="774"/>
      <c r="T18" s="773"/>
      <c r="U18" s="774"/>
      <c r="V18" s="773"/>
      <c r="W18" s="774"/>
      <c r="X18" s="1816"/>
      <c r="Y18" s="3185"/>
      <c r="Z18" s="1817"/>
      <c r="AA18" s="1814">
        <v>1</v>
      </c>
      <c r="AB18" s="1814">
        <v>1</v>
      </c>
      <c r="AC18" s="1814">
        <v>1</v>
      </c>
    </row>
    <row r="19" spans="1:29" ht="42.75">
      <c r="A19" s="429"/>
      <c r="B19" s="452" t="s">
        <v>2651</v>
      </c>
      <c r="C19" s="2610"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2"/>
      <c r="M19" s="1133"/>
      <c r="N19" s="1133"/>
      <c r="O19" s="1133"/>
      <c r="P19" s="3192"/>
      <c r="Q19" s="1813" t="str">
        <f>B19</f>
        <v>公共配套设施</v>
      </c>
      <c r="R19" s="773" t="s">
        <v>17</v>
      </c>
      <c r="S19" s="774">
        <f>F19</f>
        <v>100</v>
      </c>
      <c r="T19" s="773" t="s">
        <v>17</v>
      </c>
      <c r="U19" s="774">
        <f>H19</f>
        <v>100</v>
      </c>
      <c r="V19" s="773" t="s">
        <v>17</v>
      </c>
      <c r="W19" s="774">
        <f>J19</f>
        <v>100</v>
      </c>
      <c r="X19" s="1816"/>
      <c r="Y19" s="3185"/>
      <c r="Z19" s="1817" t="str">
        <f>Q19</f>
        <v>公共配套设施</v>
      </c>
      <c r="AA19" s="1814">
        <f t="shared" si="3"/>
        <v>1</v>
      </c>
      <c r="AB19" s="1814">
        <f t="shared" si="4"/>
        <v>1</v>
      </c>
      <c r="AC19" s="1814">
        <f t="shared" si="5"/>
        <v>1</v>
      </c>
    </row>
    <row r="20" spans="1:29" ht="15">
      <c r="A20" s="429"/>
      <c r="B20" s="457"/>
      <c r="C20" s="448"/>
      <c r="D20" s="449"/>
      <c r="E20" s="2608"/>
      <c r="F20" s="450"/>
      <c r="G20" s="2607"/>
      <c r="H20" s="449"/>
      <c r="I20" s="2608"/>
      <c r="J20" s="449"/>
      <c r="K20" s="616"/>
      <c r="L20" s="1142"/>
      <c r="M20" s="1133"/>
      <c r="N20" s="1133"/>
      <c r="O20" s="1133"/>
      <c r="P20" s="3192"/>
      <c r="Q20" s="1813"/>
      <c r="R20" s="773"/>
      <c r="S20" s="774"/>
      <c r="T20" s="773"/>
      <c r="U20" s="774"/>
      <c r="V20" s="773"/>
      <c r="W20" s="774"/>
      <c r="X20" s="1816"/>
      <c r="Y20" s="3185"/>
      <c r="Z20" s="1817"/>
      <c r="AA20" s="1814">
        <v>1</v>
      </c>
      <c r="AB20" s="1814">
        <v>1</v>
      </c>
      <c r="AC20" s="1814">
        <v>1</v>
      </c>
    </row>
    <row r="21" spans="1:29" ht="42.75">
      <c r="A21" s="429"/>
      <c r="B21" s="1386" t="s">
        <v>2652</v>
      </c>
      <c r="C21" s="2610" t="str">
        <f>估价对象房地状况!C8</f>
        <v>估价对象所在区域基础设施水平七通</v>
      </c>
      <c r="D21" s="456">
        <v>100</v>
      </c>
      <c r="E21" s="458"/>
      <c r="F21" s="459">
        <f>SUMIF(82:82,E22,83:83)-SUMIF(82:82,C22,83:83)+100</f>
        <v>100</v>
      </c>
      <c r="G21" s="460"/>
      <c r="H21" s="451">
        <f>SUMIF(82:82,G22,83:83)-SUMIF(82:82,C22,83:83)+100</f>
        <v>100</v>
      </c>
      <c r="I21" s="458"/>
      <c r="J21" s="451">
        <f>SUMIF(82:82,I22,83:83)-SUMIF(82:82,C22,83:83)+100</f>
        <v>100</v>
      </c>
      <c r="K21" s="615"/>
      <c r="L21" s="1142"/>
      <c r="M21" s="1133"/>
      <c r="N21" s="1133"/>
      <c r="O21" s="1133"/>
      <c r="P21" s="3192"/>
      <c r="Q21" s="1813" t="str">
        <f>B21</f>
        <v>基础设施水平</v>
      </c>
      <c r="R21" s="773" t="s">
        <v>17</v>
      </c>
      <c r="S21" s="774">
        <f>F21</f>
        <v>100</v>
      </c>
      <c r="T21" s="773" t="s">
        <v>17</v>
      </c>
      <c r="U21" s="774">
        <f>H21</f>
        <v>100</v>
      </c>
      <c r="V21" s="773" t="s">
        <v>17</v>
      </c>
      <c r="W21" s="774">
        <f>J21</f>
        <v>100</v>
      </c>
      <c r="X21" s="1816"/>
      <c r="Y21" s="3185"/>
      <c r="Z21" s="1817" t="str">
        <f>Q21</f>
        <v>基础设施水平</v>
      </c>
      <c r="AA21" s="1814">
        <f>D21/F21</f>
        <v>1</v>
      </c>
      <c r="AB21" s="1814">
        <f>D21/H21</f>
        <v>1</v>
      </c>
      <c r="AC21" s="1814">
        <f>D21/J21</f>
        <v>1</v>
      </c>
    </row>
    <row r="22" spans="1:29" ht="15">
      <c r="A22" s="429"/>
      <c r="B22" s="1386"/>
      <c r="C22" s="2611"/>
      <c r="D22" s="449"/>
      <c r="E22" s="448"/>
      <c r="F22" s="450"/>
      <c r="G22" s="448"/>
      <c r="H22" s="449"/>
      <c r="I22" s="448"/>
      <c r="J22" s="449"/>
      <c r="K22" s="1385"/>
      <c r="L22" s="1142"/>
      <c r="M22" s="1133"/>
      <c r="N22" s="1133"/>
      <c r="O22" s="1133"/>
      <c r="P22" s="3192"/>
      <c r="Q22" s="1813"/>
      <c r="R22" s="773"/>
      <c r="S22" s="774"/>
      <c r="T22" s="773"/>
      <c r="U22" s="774"/>
      <c r="V22" s="773"/>
      <c r="W22" s="774"/>
      <c r="X22" s="1816"/>
      <c r="Y22" s="3185"/>
      <c r="Z22" s="1817"/>
      <c r="AA22" s="1814">
        <v>1</v>
      </c>
      <c r="AB22" s="1814">
        <v>1</v>
      </c>
      <c r="AC22" s="1814">
        <v>1</v>
      </c>
    </row>
    <row r="23" spans="1:29" ht="57">
      <c r="A23" s="429"/>
      <c r="B23" s="452" t="s">
        <v>2100</v>
      </c>
      <c r="C23" s="2667" t="str">
        <f>估价对象房地状况!C9</f>
        <v>区域自然环境较好；人文环境较好；综合评价环境状况较好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2"/>
      <c r="M23" s="1133"/>
      <c r="N23" s="1133"/>
      <c r="O23" s="1133"/>
      <c r="P23" s="3192"/>
      <c r="Q23" s="1813" t="str">
        <f>B23</f>
        <v>自然及人文环境</v>
      </c>
      <c r="R23" s="773" t="s">
        <v>17</v>
      </c>
      <c r="S23" s="774">
        <f>F23</f>
        <v>100</v>
      </c>
      <c r="T23" s="773" t="s">
        <v>17</v>
      </c>
      <c r="U23" s="774">
        <f>H23</f>
        <v>100</v>
      </c>
      <c r="V23" s="773" t="s">
        <v>17</v>
      </c>
      <c r="W23" s="774">
        <f>J23</f>
        <v>100</v>
      </c>
      <c r="X23" s="1816"/>
      <c r="Y23" s="3185"/>
      <c r="Z23" s="1817" t="str">
        <f>Q23</f>
        <v>自然及人文环境</v>
      </c>
      <c r="AA23" s="1814">
        <f t="shared" si="3"/>
        <v>1</v>
      </c>
      <c r="AB23" s="1814">
        <f t="shared" si="4"/>
        <v>1</v>
      </c>
      <c r="AC23" s="1814">
        <f t="shared" si="5"/>
        <v>1</v>
      </c>
    </row>
    <row r="24" spans="1:29" ht="15">
      <c r="A24" s="429"/>
      <c r="B24" s="457"/>
      <c r="C24" s="448"/>
      <c r="D24" s="449"/>
      <c r="E24" s="2608"/>
      <c r="F24" s="450"/>
      <c r="G24" s="2607"/>
      <c r="H24" s="449"/>
      <c r="I24" s="2608"/>
      <c r="J24" s="449"/>
      <c r="K24" s="616"/>
      <c r="L24" s="1142"/>
      <c r="M24" s="1133"/>
      <c r="N24" s="1133"/>
      <c r="O24" s="1133"/>
      <c r="P24" s="3192"/>
      <c r="Q24" s="1813"/>
      <c r="R24" s="773"/>
      <c r="S24" s="774"/>
      <c r="T24" s="773"/>
      <c r="U24" s="774"/>
      <c r="V24" s="773"/>
      <c r="W24" s="774"/>
      <c r="X24" s="1816"/>
      <c r="Y24" s="3185"/>
      <c r="Z24" s="1817"/>
      <c r="AA24" s="1814">
        <v>1</v>
      </c>
      <c r="AB24" s="1814">
        <v>1</v>
      </c>
      <c r="AC24" s="1814">
        <v>1</v>
      </c>
    </row>
    <row r="25" spans="1:29" ht="15">
      <c r="A25" s="429"/>
      <c r="B25" s="423" t="s">
        <v>2653</v>
      </c>
      <c r="C25" s="617"/>
      <c r="D25" s="436">
        <v>100</v>
      </c>
      <c r="E25" s="617"/>
      <c r="F25" s="462">
        <f>SUMIF(86:86,E25,87:87)-SUMIF(86:86,C25,87:87)+100</f>
        <v>100</v>
      </c>
      <c r="G25" s="617"/>
      <c r="H25" s="436">
        <f>SUMIF(86:86,G25,87:87)-SUMIF(86:86,C25,87:87)+100</f>
        <v>100</v>
      </c>
      <c r="I25" s="617"/>
      <c r="J25" s="436">
        <f>SUMIF(86:86,I25,87:87)-SUMIF(86:86,C25,87:87)+100</f>
        <v>100</v>
      </c>
      <c r="K25" s="613"/>
      <c r="L25" s="1142"/>
      <c r="M25" s="1133"/>
      <c r="N25" s="1133"/>
      <c r="O25" s="1133"/>
      <c r="P25" s="3192"/>
      <c r="Q25" s="1813" t="str">
        <f t="shared" ref="Q25:Q46" si="8">B25</f>
        <v>临街状况</v>
      </c>
      <c r="R25" s="773" t="s">
        <v>17</v>
      </c>
      <c r="S25" s="774">
        <f>F25</f>
        <v>100</v>
      </c>
      <c r="T25" s="773" t="s">
        <v>17</v>
      </c>
      <c r="U25" s="774">
        <f>H25</f>
        <v>100</v>
      </c>
      <c r="V25" s="773" t="s">
        <v>17</v>
      </c>
      <c r="W25" s="774">
        <f>J25</f>
        <v>100</v>
      </c>
      <c r="X25" s="1816"/>
      <c r="Y25" s="3185"/>
      <c r="Z25" s="1817" t="str">
        <f>Q25</f>
        <v>临街状况</v>
      </c>
      <c r="AA25" s="1814">
        <f t="shared" si="3"/>
        <v>1</v>
      </c>
      <c r="AB25" s="1814">
        <f t="shared" si="4"/>
        <v>1</v>
      </c>
      <c r="AC25" s="1814">
        <f t="shared" si="5"/>
        <v>1</v>
      </c>
    </row>
    <row r="26" spans="1:29" ht="15">
      <c r="A26" s="429"/>
      <c r="B26" s="1388" t="s">
        <v>2654</v>
      </c>
      <c r="C26" s="435"/>
      <c r="D26" s="436">
        <v>100</v>
      </c>
      <c r="E26" s="435"/>
      <c r="F26" s="462">
        <f>SUMIF(88:88,E26,89:89)-SUMIF(88:88,C26,89:89)+100</f>
        <v>100</v>
      </c>
      <c r="G26" s="435"/>
      <c r="H26" s="436">
        <f>SUMIF(88:88,G26,89:89)-SUMIF(88:88,C26,89:89)+100</f>
        <v>100</v>
      </c>
      <c r="I26" s="435"/>
      <c r="J26" s="436">
        <f>SUMIF(88:88,I26,89:89)-SUMIF(88:88,C26,89:89)+100</f>
        <v>100</v>
      </c>
      <c r="K26" s="614"/>
      <c r="L26" s="1142"/>
      <c r="M26" s="1133"/>
      <c r="N26" s="1133"/>
      <c r="O26" s="1133"/>
      <c r="P26" s="3192"/>
      <c r="Q26" s="1813" t="str">
        <f t="shared" si="8"/>
        <v>平面位置/可视性</v>
      </c>
      <c r="R26" s="773" t="s">
        <v>17</v>
      </c>
      <c r="S26" s="774">
        <f>F26</f>
        <v>100</v>
      </c>
      <c r="T26" s="773" t="s">
        <v>17</v>
      </c>
      <c r="U26" s="774">
        <f>H26</f>
        <v>100</v>
      </c>
      <c r="V26" s="773" t="s">
        <v>17</v>
      </c>
      <c r="W26" s="774">
        <f>J26</f>
        <v>100</v>
      </c>
      <c r="X26" s="1816"/>
      <c r="Y26" s="3185"/>
      <c r="Z26" s="1817" t="str">
        <f>Q26</f>
        <v>平面位置/可视性</v>
      </c>
      <c r="AA26" s="1814">
        <f t="shared" si="3"/>
        <v>1</v>
      </c>
      <c r="AB26" s="1814">
        <f t="shared" si="4"/>
        <v>1</v>
      </c>
      <c r="AC26" s="1814">
        <f t="shared" si="5"/>
        <v>1</v>
      </c>
    </row>
    <row r="27" spans="1:29" s="117" customFormat="1" ht="15">
      <c r="A27" s="432"/>
      <c r="B27" s="452" t="s">
        <v>2655</v>
      </c>
      <c r="C27" s="2668"/>
      <c r="D27" s="463">
        <v>100</v>
      </c>
      <c r="E27" s="2668"/>
      <c r="F27" s="465">
        <f>SUMIF(90:90,E27,91:91)-SUMIF(90:90,C27,91:91)+100</f>
        <v>100</v>
      </c>
      <c r="G27" s="2668"/>
      <c r="H27" s="463">
        <f>SUMIF(90:90,G27,91:91)-SUMIF(90:90,C27,91:91)+100</f>
        <v>100</v>
      </c>
      <c r="I27" s="2668"/>
      <c r="J27" s="463">
        <f>SUMIF(90:90,I27,91:91)-SUMIF(90:90,C27,91:91)+100</f>
        <v>100</v>
      </c>
      <c r="K27" s="613"/>
      <c r="L27" s="1134"/>
      <c r="M27" s="1135"/>
      <c r="N27" s="1135"/>
      <c r="O27" s="1135"/>
      <c r="P27" s="3192"/>
      <c r="Q27" s="1798" t="str">
        <f t="shared" si="8"/>
        <v>人流量</v>
      </c>
      <c r="R27" s="769" t="s">
        <v>17</v>
      </c>
      <c r="S27" s="770">
        <f>F27</f>
        <v>100</v>
      </c>
      <c r="T27" s="769" t="s">
        <v>17</v>
      </c>
      <c r="U27" s="770">
        <f>H27</f>
        <v>100</v>
      </c>
      <c r="V27" s="769" t="s">
        <v>17</v>
      </c>
      <c r="W27" s="770">
        <f>J27</f>
        <v>100</v>
      </c>
      <c r="X27" s="771"/>
      <c r="Y27" s="3185"/>
      <c r="Z27" s="55" t="str">
        <f>Q27</f>
        <v>人流量</v>
      </c>
      <c r="AA27" s="1814">
        <f>D27/F27</f>
        <v>1</v>
      </c>
      <c r="AB27" s="1814">
        <f>D27/H27</f>
        <v>1</v>
      </c>
      <c r="AC27" s="1814">
        <f>D27/J27</f>
        <v>1</v>
      </c>
    </row>
    <row r="28" spans="1:29" ht="15">
      <c r="A28" s="429"/>
      <c r="B28" s="423" t="s">
        <v>2656</v>
      </c>
      <c r="C28" s="617"/>
      <c r="D28" s="436">
        <v>100</v>
      </c>
      <c r="E28" s="617"/>
      <c r="F28" s="462">
        <f>SUMIF(92:92,E28,93:93)-SUMIF(92:92,C28,93:93)+100</f>
        <v>100</v>
      </c>
      <c r="G28" s="617"/>
      <c r="H28" s="436">
        <f>SUMIF(92:92,G28,93:93)-SUMIF(92:92,C28,93:93)+100</f>
        <v>100</v>
      </c>
      <c r="I28" s="617"/>
      <c r="J28" s="436">
        <f>SUMIF(92:92,I28,93:93)-SUMIF(92:92,C28,93:93)+100</f>
        <v>100</v>
      </c>
      <c r="K28" s="614"/>
      <c r="L28" s="1142"/>
      <c r="M28" s="1133"/>
      <c r="N28" s="1133"/>
      <c r="O28" s="1133"/>
      <c r="P28" s="3192"/>
      <c r="Q28" s="1813" t="str">
        <f t="shared" si="8"/>
        <v>楼层</v>
      </c>
      <c r="R28" s="773" t="s">
        <v>17</v>
      </c>
      <c r="S28" s="774">
        <f t="shared" ref="S28:S46" si="9">F28</f>
        <v>100</v>
      </c>
      <c r="T28" s="773" t="s">
        <v>17</v>
      </c>
      <c r="U28" s="774">
        <f t="shared" ref="U28:U46" si="10">H28</f>
        <v>100</v>
      </c>
      <c r="V28" s="773" t="s">
        <v>17</v>
      </c>
      <c r="W28" s="774">
        <f t="shared" ref="W28:W46" si="11">J28</f>
        <v>100</v>
      </c>
      <c r="X28" s="1816"/>
      <c r="Y28" s="3185"/>
      <c r="Z28" s="1817" t="str">
        <f t="shared" ref="Z28:Z46" si="12">Q28</f>
        <v>楼层</v>
      </c>
      <c r="AA28" s="1814">
        <f t="shared" si="3"/>
        <v>1</v>
      </c>
      <c r="AB28" s="1814">
        <f t="shared" si="4"/>
        <v>1</v>
      </c>
      <c r="AC28" s="1814">
        <f t="shared" si="5"/>
        <v>1</v>
      </c>
    </row>
    <row r="29" spans="1:29" ht="15">
      <c r="A29" s="429"/>
      <c r="B29" s="1388">
        <v>111</v>
      </c>
      <c r="C29" s="435"/>
      <c r="D29" s="436">
        <v>100</v>
      </c>
      <c r="E29" s="435"/>
      <c r="F29" s="462">
        <f>SUMIF(94:94,E29,95:95)-SUMIF(94:94,C29,95:95)+100</f>
        <v>100</v>
      </c>
      <c r="G29" s="435"/>
      <c r="H29" s="436">
        <f>SUMIF(94:94,G29,95:95)-SUMIF(94:94,C29,95:95)+100</f>
        <v>100</v>
      </c>
      <c r="I29" s="435"/>
      <c r="J29" s="436">
        <f>SUMIF(94:94,I29,95:95)-SUMIF(94:94,C29,95:95)+100</f>
        <v>100</v>
      </c>
      <c r="K29" s="614"/>
      <c r="L29" s="1142"/>
      <c r="M29" s="1133"/>
      <c r="N29" s="1133"/>
      <c r="O29" s="1133"/>
      <c r="P29" s="3192"/>
      <c r="Q29" s="1813">
        <f t="shared" si="8"/>
        <v>111</v>
      </c>
      <c r="R29" s="773" t="s">
        <v>17</v>
      </c>
      <c r="S29" s="774">
        <f t="shared" si="9"/>
        <v>100</v>
      </c>
      <c r="T29" s="773" t="s">
        <v>17</v>
      </c>
      <c r="U29" s="774">
        <f t="shared" si="10"/>
        <v>100</v>
      </c>
      <c r="V29" s="773" t="s">
        <v>17</v>
      </c>
      <c r="W29" s="774">
        <f t="shared" si="11"/>
        <v>100</v>
      </c>
      <c r="X29" s="1816"/>
      <c r="Y29" s="3185"/>
      <c r="Z29" s="1817">
        <f t="shared" si="12"/>
        <v>111</v>
      </c>
      <c r="AA29" s="1814">
        <f t="shared" si="3"/>
        <v>1</v>
      </c>
      <c r="AB29" s="1814">
        <f t="shared" si="4"/>
        <v>1</v>
      </c>
      <c r="AC29" s="1814">
        <f t="shared" si="5"/>
        <v>1</v>
      </c>
    </row>
    <row r="30" spans="1:29" ht="15">
      <c r="A30" s="429"/>
      <c r="B30" s="1388">
        <v>111</v>
      </c>
      <c r="C30" s="435"/>
      <c r="D30" s="436">
        <v>100</v>
      </c>
      <c r="E30" s="435"/>
      <c r="F30" s="462">
        <f>SUMIF(96:96,E30,97:97)-SUMIF(96:96,C30,97:97)+100</f>
        <v>100</v>
      </c>
      <c r="G30" s="435"/>
      <c r="H30" s="436">
        <f>SUMIF(96:96,G30,97:97)-SUMIF(96:96,C30,97:97)+100</f>
        <v>100</v>
      </c>
      <c r="I30" s="435"/>
      <c r="J30" s="436">
        <f>SUMIF(96:96,I30,97:97)-SUMIF(96:96,C30,97:97)+100</f>
        <v>100</v>
      </c>
      <c r="K30" s="614"/>
      <c r="L30" s="1142"/>
      <c r="M30" s="1133"/>
      <c r="N30" s="1133"/>
      <c r="O30" s="1133"/>
      <c r="P30" s="3192"/>
      <c r="Q30" s="1813">
        <f t="shared" si="8"/>
        <v>111</v>
      </c>
      <c r="R30" s="773" t="s">
        <v>17</v>
      </c>
      <c r="S30" s="774">
        <f t="shared" si="9"/>
        <v>100</v>
      </c>
      <c r="T30" s="773" t="s">
        <v>17</v>
      </c>
      <c r="U30" s="774">
        <f t="shared" si="10"/>
        <v>100</v>
      </c>
      <c r="V30" s="773" t="s">
        <v>17</v>
      </c>
      <c r="W30" s="774">
        <f t="shared" si="11"/>
        <v>100</v>
      </c>
      <c r="X30" s="1816"/>
      <c r="Y30" s="3185"/>
      <c r="Z30" s="1817">
        <f t="shared" si="12"/>
        <v>111</v>
      </c>
      <c r="AA30" s="1814">
        <f t="shared" si="3"/>
        <v>1</v>
      </c>
      <c r="AB30" s="1814">
        <f t="shared" si="4"/>
        <v>1</v>
      </c>
      <c r="AC30" s="1814">
        <f t="shared" si="5"/>
        <v>1</v>
      </c>
    </row>
    <row r="31" spans="1:29" ht="15.75" thickBot="1">
      <c r="A31" s="437"/>
      <c r="B31" s="1388">
        <v>111</v>
      </c>
      <c r="C31" s="438"/>
      <c r="D31" s="439">
        <v>100</v>
      </c>
      <c r="E31" s="435"/>
      <c r="F31" s="440">
        <f>SUMIF(98:98,E31,99:99)-SUMIF(98:98,C31,99:99)+100</f>
        <v>100</v>
      </c>
      <c r="G31" s="435"/>
      <c r="H31" s="439">
        <f>SUMIF(98:98,G31,99:99)-SUMIF(98:98,C31,99:99)+100</f>
        <v>100</v>
      </c>
      <c r="I31" s="435"/>
      <c r="J31" s="439">
        <f>SUMIF(98:98,I31,99:99)-SUMIF(98:98,C31,99:99)+100</f>
        <v>100</v>
      </c>
      <c r="K31" s="614"/>
      <c r="L31" s="1142"/>
      <c r="M31" s="1133"/>
      <c r="N31" s="1133"/>
      <c r="O31" s="1133"/>
      <c r="P31" s="3192"/>
      <c r="Q31" s="1813">
        <f t="shared" si="8"/>
        <v>111</v>
      </c>
      <c r="R31" s="773" t="s">
        <v>17</v>
      </c>
      <c r="S31" s="774">
        <f t="shared" si="9"/>
        <v>100</v>
      </c>
      <c r="T31" s="773" t="s">
        <v>17</v>
      </c>
      <c r="U31" s="774">
        <f t="shared" si="10"/>
        <v>100</v>
      </c>
      <c r="V31" s="773" t="s">
        <v>17</v>
      </c>
      <c r="W31" s="774">
        <f t="shared" si="11"/>
        <v>100</v>
      </c>
      <c r="X31" s="1816"/>
      <c r="Y31" s="3185"/>
      <c r="Z31" s="1817">
        <f t="shared" si="12"/>
        <v>111</v>
      </c>
      <c r="AA31" s="1814">
        <f t="shared" si="3"/>
        <v>1</v>
      </c>
      <c r="AB31" s="1814">
        <f t="shared" si="4"/>
        <v>1</v>
      </c>
      <c r="AC31" s="1814">
        <f t="shared" si="5"/>
        <v>1</v>
      </c>
    </row>
    <row r="32" spans="1:29" ht="15">
      <c r="A32" s="441" t="s">
        <v>2561</v>
      </c>
      <c r="B32" s="71" t="s">
        <v>2657</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2"/>
      <c r="M32" s="1133"/>
      <c r="N32" s="1133"/>
      <c r="O32" s="1133"/>
      <c r="P32" s="3186" t="s">
        <v>2563</v>
      </c>
      <c r="Q32" s="1813" t="str">
        <f t="shared" si="8"/>
        <v>商业类型</v>
      </c>
      <c r="R32" s="773" t="s">
        <v>17</v>
      </c>
      <c r="S32" s="774">
        <f t="shared" si="9"/>
        <v>100</v>
      </c>
      <c r="T32" s="773" t="s">
        <v>17</v>
      </c>
      <c r="U32" s="774">
        <f t="shared" si="10"/>
        <v>100</v>
      </c>
      <c r="V32" s="773" t="s">
        <v>17</v>
      </c>
      <c r="W32" s="774">
        <f t="shared" si="11"/>
        <v>100</v>
      </c>
      <c r="X32" s="1816"/>
      <c r="Y32" s="3189" t="s">
        <v>2563</v>
      </c>
      <c r="Z32" s="1817" t="str">
        <f t="shared" si="12"/>
        <v>商业类型</v>
      </c>
      <c r="AA32" s="1814">
        <f t="shared" si="3"/>
        <v>1</v>
      </c>
      <c r="AB32" s="1814">
        <f t="shared" si="4"/>
        <v>1</v>
      </c>
      <c r="AC32" s="1814">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0"/>
      <c r="M33" s="1143"/>
      <c r="N33" s="1143"/>
      <c r="O33" s="1143"/>
      <c r="P33" s="3187"/>
      <c r="Q33" s="775" t="str">
        <f t="shared" si="8"/>
        <v>项目建筑规模</v>
      </c>
      <c r="R33" s="776" t="s">
        <v>17</v>
      </c>
      <c r="S33" s="777" t="e">
        <f t="shared" si="9"/>
        <v>#N/A</v>
      </c>
      <c r="T33" s="776" t="s">
        <v>17</v>
      </c>
      <c r="U33" s="777" t="e">
        <f t="shared" si="10"/>
        <v>#N/A</v>
      </c>
      <c r="V33" s="776" t="s">
        <v>17</v>
      </c>
      <c r="W33" s="777" t="e">
        <f t="shared" si="11"/>
        <v>#N/A</v>
      </c>
      <c r="X33" s="778"/>
      <c r="Y33" s="3189"/>
      <c r="Z33" s="779" t="str">
        <f t="shared" si="12"/>
        <v>项目建筑规模</v>
      </c>
      <c r="AA33" s="1814" t="e">
        <f t="shared" si="3"/>
        <v>#N/A</v>
      </c>
      <c r="AB33" s="1814" t="e">
        <f t="shared" si="4"/>
        <v>#N/A</v>
      </c>
      <c r="AC33" s="1814" t="e">
        <f t="shared" si="5"/>
        <v>#N/A</v>
      </c>
    </row>
    <row r="34" spans="1:29" ht="15">
      <c r="A34" s="473"/>
      <c r="B34" s="423" t="s">
        <v>2565</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2"/>
      <c r="M34" s="1133"/>
      <c r="N34" s="1133"/>
      <c r="O34" s="1133"/>
      <c r="P34" s="3187"/>
      <c r="Q34" s="1813" t="str">
        <f t="shared" si="8"/>
        <v>建筑结构</v>
      </c>
      <c r="R34" s="773" t="s">
        <v>17</v>
      </c>
      <c r="S34" s="774">
        <f t="shared" si="9"/>
        <v>100</v>
      </c>
      <c r="T34" s="773" t="s">
        <v>17</v>
      </c>
      <c r="U34" s="774">
        <f t="shared" si="10"/>
        <v>100</v>
      </c>
      <c r="V34" s="773" t="s">
        <v>17</v>
      </c>
      <c r="W34" s="774">
        <f t="shared" si="11"/>
        <v>100</v>
      </c>
      <c r="X34" s="1816"/>
      <c r="Y34" s="3189"/>
      <c r="Z34" s="1817" t="str">
        <f t="shared" si="12"/>
        <v>建筑结构</v>
      </c>
      <c r="AA34" s="1814">
        <f t="shared" si="3"/>
        <v>1</v>
      </c>
      <c r="AB34" s="1814">
        <f t="shared" si="4"/>
        <v>1</v>
      </c>
      <c r="AC34" s="1814">
        <f t="shared" si="5"/>
        <v>1</v>
      </c>
    </row>
    <row r="35" spans="1:29" ht="15">
      <c r="A35" s="473"/>
      <c r="B35" s="423" t="s">
        <v>2658</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2"/>
      <c r="M35" s="1133"/>
      <c r="N35" s="1133"/>
      <c r="O35" s="1133"/>
      <c r="P35" s="3187"/>
      <c r="Q35" s="1813" t="str">
        <f t="shared" si="8"/>
        <v>公共部分装修</v>
      </c>
      <c r="R35" s="773" t="s">
        <v>17</v>
      </c>
      <c r="S35" s="774">
        <f t="shared" si="9"/>
        <v>100</v>
      </c>
      <c r="T35" s="773" t="s">
        <v>17</v>
      </c>
      <c r="U35" s="774">
        <f t="shared" si="10"/>
        <v>100</v>
      </c>
      <c r="V35" s="773" t="s">
        <v>17</v>
      </c>
      <c r="W35" s="774">
        <f t="shared" si="11"/>
        <v>100</v>
      </c>
      <c r="X35" s="1816"/>
      <c r="Y35" s="3189"/>
      <c r="Z35" s="1817" t="str">
        <f t="shared" si="12"/>
        <v>公共部分装修</v>
      </c>
      <c r="AA35" s="1814">
        <f t="shared" si="3"/>
        <v>1</v>
      </c>
      <c r="AB35" s="1814">
        <f t="shared" si="4"/>
        <v>1</v>
      </c>
      <c r="AC35" s="1814">
        <f t="shared" si="5"/>
        <v>1</v>
      </c>
    </row>
    <row r="36" spans="1:29" ht="15">
      <c r="A36" s="473"/>
      <c r="B36" s="423" t="s">
        <v>2659</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2"/>
      <c r="M36" s="1133"/>
      <c r="N36" s="1133"/>
      <c r="O36" s="1133"/>
      <c r="P36" s="3187"/>
      <c r="Q36" s="1813" t="str">
        <f t="shared" si="8"/>
        <v>成新度</v>
      </c>
      <c r="R36" s="773" t="s">
        <v>17</v>
      </c>
      <c r="S36" s="774" t="e">
        <f t="shared" si="9"/>
        <v>#N/A</v>
      </c>
      <c r="T36" s="773" t="s">
        <v>17</v>
      </c>
      <c r="U36" s="774" t="e">
        <f t="shared" si="10"/>
        <v>#N/A</v>
      </c>
      <c r="V36" s="773" t="s">
        <v>17</v>
      </c>
      <c r="W36" s="774" t="e">
        <f t="shared" si="11"/>
        <v>#N/A</v>
      </c>
      <c r="X36" s="1816"/>
      <c r="Y36" s="3189"/>
      <c r="Z36" s="1817" t="str">
        <f t="shared" si="12"/>
        <v>成新度</v>
      </c>
      <c r="AA36" s="1814" t="e">
        <f t="shared" si="3"/>
        <v>#N/A</v>
      </c>
      <c r="AB36" s="1814" t="e">
        <f t="shared" si="4"/>
        <v>#N/A</v>
      </c>
      <c r="AC36" s="1814" t="e">
        <f t="shared" si="5"/>
        <v>#N/A</v>
      </c>
    </row>
    <row r="37" spans="1:29" s="117" customFormat="1" ht="15">
      <c r="A37" s="474"/>
      <c r="B37" s="423" t="s">
        <v>2660</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4"/>
      <c r="M37" s="1135"/>
      <c r="N37" s="1135"/>
      <c r="O37" s="1135"/>
      <c r="P37" s="3187"/>
      <c r="Q37" s="1798" t="str">
        <f t="shared" si="8"/>
        <v>市政基础设施</v>
      </c>
      <c r="R37" s="769" t="s">
        <v>17</v>
      </c>
      <c r="S37" s="770">
        <f t="shared" si="9"/>
        <v>100</v>
      </c>
      <c r="T37" s="769" t="s">
        <v>17</v>
      </c>
      <c r="U37" s="770">
        <f t="shared" si="10"/>
        <v>100</v>
      </c>
      <c r="V37" s="769" t="s">
        <v>17</v>
      </c>
      <c r="W37" s="770">
        <f t="shared" si="11"/>
        <v>100</v>
      </c>
      <c r="X37" s="771"/>
      <c r="Y37" s="3189"/>
      <c r="Z37" s="55" t="str">
        <f t="shared" si="12"/>
        <v>市政基础设施</v>
      </c>
      <c r="AA37" s="772">
        <f t="shared" si="3"/>
        <v>1</v>
      </c>
      <c r="AB37" s="772">
        <f t="shared" si="4"/>
        <v>1</v>
      </c>
      <c r="AC37" s="772">
        <f t="shared" si="5"/>
        <v>1</v>
      </c>
    </row>
    <row r="38" spans="1:29" ht="15">
      <c r="A38" s="473"/>
      <c r="B38" s="423" t="s">
        <v>2661</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2"/>
      <c r="M38" s="1133"/>
      <c r="N38" s="1133"/>
      <c r="O38" s="1133"/>
      <c r="P38" s="3187" t="s">
        <v>2563</v>
      </c>
      <c r="Q38" s="1813" t="str">
        <f t="shared" si="8"/>
        <v>业态</v>
      </c>
      <c r="R38" s="773" t="s">
        <v>17</v>
      </c>
      <c r="S38" s="774">
        <f t="shared" si="9"/>
        <v>100</v>
      </c>
      <c r="T38" s="773" t="s">
        <v>17</v>
      </c>
      <c r="U38" s="774">
        <f t="shared" si="10"/>
        <v>100</v>
      </c>
      <c r="V38" s="773" t="s">
        <v>17</v>
      </c>
      <c r="W38" s="774">
        <f t="shared" si="11"/>
        <v>100</v>
      </c>
      <c r="X38" s="1816"/>
      <c r="Y38" s="3189" t="s">
        <v>2563</v>
      </c>
      <c r="Z38" s="1817" t="str">
        <f t="shared" si="12"/>
        <v>业态</v>
      </c>
      <c r="AA38" s="1814">
        <f t="shared" si="3"/>
        <v>1</v>
      </c>
      <c r="AB38" s="1814">
        <f t="shared" si="4"/>
        <v>1</v>
      </c>
      <c r="AC38" s="1814">
        <f t="shared" si="5"/>
        <v>1</v>
      </c>
    </row>
    <row r="39" spans="1:29" ht="15">
      <c r="A39" s="473"/>
      <c r="B39" s="423" t="s">
        <v>2662</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2"/>
      <c r="M39" s="1133"/>
      <c r="N39" s="1133"/>
      <c r="O39" s="1133"/>
      <c r="P39" s="3187"/>
      <c r="Q39" s="1813" t="str">
        <f t="shared" si="8"/>
        <v>层高</v>
      </c>
      <c r="R39" s="773" t="s">
        <v>17</v>
      </c>
      <c r="S39" s="774">
        <f t="shared" si="9"/>
        <v>100</v>
      </c>
      <c r="T39" s="773" t="s">
        <v>17</v>
      </c>
      <c r="U39" s="774">
        <f t="shared" si="10"/>
        <v>100</v>
      </c>
      <c r="V39" s="773" t="s">
        <v>17</v>
      </c>
      <c r="W39" s="774">
        <f t="shared" si="11"/>
        <v>100</v>
      </c>
      <c r="X39" s="1816"/>
      <c r="Y39" s="3189"/>
      <c r="Z39" s="1817" t="str">
        <f t="shared" si="12"/>
        <v>层高</v>
      </c>
      <c r="AA39" s="1814">
        <f t="shared" si="3"/>
        <v>1</v>
      </c>
      <c r="AB39" s="1814">
        <f t="shared" si="4"/>
        <v>1</v>
      </c>
      <c r="AC39" s="1814">
        <f t="shared" si="5"/>
        <v>1</v>
      </c>
    </row>
    <row r="40" spans="1:29" ht="15">
      <c r="A40" s="473"/>
      <c r="B40" s="423" t="s">
        <v>2663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2"/>
      <c r="M40" s="1133"/>
      <c r="N40" s="1133"/>
      <c r="O40" s="1133"/>
      <c r="P40" s="3187"/>
      <c r="Q40" s="1813" t="str">
        <f t="shared" si="8"/>
        <v>单套建筑面积</v>
      </c>
      <c r="R40" s="773" t="s">
        <v>17</v>
      </c>
      <c r="S40" s="774">
        <f t="shared" si="9"/>
        <v>100</v>
      </c>
      <c r="T40" s="773" t="s">
        <v>17</v>
      </c>
      <c r="U40" s="774">
        <f t="shared" si="10"/>
        <v>100</v>
      </c>
      <c r="V40" s="773" t="s">
        <v>17</v>
      </c>
      <c r="W40" s="774">
        <f t="shared" si="11"/>
        <v>100</v>
      </c>
      <c r="X40" s="1816"/>
      <c r="Y40" s="3189"/>
      <c r="Z40" s="1817" t="str">
        <f t="shared" si="12"/>
        <v>单套建筑面积</v>
      </c>
      <c r="AA40" s="1814">
        <f t="shared" si="3"/>
        <v>1</v>
      </c>
      <c r="AB40" s="1814">
        <f t="shared" si="4"/>
        <v>1</v>
      </c>
      <c r="AC40" s="1814">
        <f t="shared" si="5"/>
        <v>1</v>
      </c>
    </row>
    <row r="41" spans="1:29" s="472" customFormat="1" ht="15">
      <c r="A41" s="469"/>
      <c r="B41" s="1815" t="s">
        <v>2664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0"/>
      <c r="M41" s="1143"/>
      <c r="N41" s="1143"/>
      <c r="O41" s="1143"/>
      <c r="P41" s="3187"/>
      <c r="Q41" s="775" t="str">
        <f t="shared" si="8"/>
        <v>进深比</v>
      </c>
      <c r="R41" s="776" t="s">
        <v>17</v>
      </c>
      <c r="S41" s="777">
        <f t="shared" si="9"/>
        <v>100</v>
      </c>
      <c r="T41" s="776" t="s">
        <v>17</v>
      </c>
      <c r="U41" s="777">
        <f t="shared" si="10"/>
        <v>100</v>
      </c>
      <c r="V41" s="776" t="s">
        <v>17</v>
      </c>
      <c r="W41" s="777">
        <f t="shared" si="11"/>
        <v>100</v>
      </c>
      <c r="X41" s="778"/>
      <c r="Y41" s="3189"/>
      <c r="Z41" s="779" t="str">
        <f t="shared" si="12"/>
        <v>进深比</v>
      </c>
      <c r="AA41" s="1814">
        <f t="shared" si="3"/>
        <v>1</v>
      </c>
      <c r="AB41" s="1814">
        <f t="shared" si="4"/>
        <v>1</v>
      </c>
      <c r="AC41" s="1814">
        <f t="shared" si="5"/>
        <v>1</v>
      </c>
    </row>
    <row r="42" spans="1:29" ht="15">
      <c r="A42" s="473"/>
      <c r="B42" s="423" t="s">
        <v>2665</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2"/>
      <c r="M42" s="1133"/>
      <c r="N42" s="1133"/>
      <c r="O42" s="1133"/>
      <c r="P42" s="3187"/>
      <c r="Q42" s="1813" t="str">
        <f t="shared" si="8"/>
        <v>内部装修</v>
      </c>
      <c r="R42" s="773" t="s">
        <v>17</v>
      </c>
      <c r="S42" s="774">
        <f t="shared" si="9"/>
        <v>100</v>
      </c>
      <c r="T42" s="773" t="s">
        <v>17</v>
      </c>
      <c r="U42" s="774">
        <f t="shared" si="10"/>
        <v>100</v>
      </c>
      <c r="V42" s="773" t="s">
        <v>17</v>
      </c>
      <c r="W42" s="774">
        <f t="shared" si="11"/>
        <v>100</v>
      </c>
      <c r="X42" s="1816"/>
      <c r="Y42" s="3189"/>
      <c r="Z42" s="1817" t="str">
        <f t="shared" si="12"/>
        <v>内部装修</v>
      </c>
      <c r="AA42" s="1814">
        <f t="shared" si="3"/>
        <v>1</v>
      </c>
      <c r="AB42" s="1814">
        <f t="shared" si="4"/>
        <v>1</v>
      </c>
      <c r="AC42" s="1814">
        <f t="shared" si="5"/>
        <v>1</v>
      </c>
    </row>
    <row r="43" spans="1:29" ht="15">
      <c r="A43" s="473"/>
      <c r="B43" s="423" t="s">
        <v>2574</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2"/>
      <c r="M43" s="1133"/>
      <c r="N43" s="1133"/>
      <c r="O43" s="1133"/>
      <c r="P43" s="3187"/>
      <c r="Q43" s="1813" t="str">
        <f t="shared" si="8"/>
        <v>内部装修维护情况</v>
      </c>
      <c r="R43" s="773" t="s">
        <v>17</v>
      </c>
      <c r="S43" s="774">
        <f t="shared" si="9"/>
        <v>100</v>
      </c>
      <c r="T43" s="773" t="s">
        <v>17</v>
      </c>
      <c r="U43" s="774">
        <f t="shared" si="10"/>
        <v>100</v>
      </c>
      <c r="V43" s="773" t="s">
        <v>17</v>
      </c>
      <c r="W43" s="774">
        <f t="shared" si="11"/>
        <v>100</v>
      </c>
      <c r="X43" s="1816"/>
      <c r="Y43" s="3189"/>
      <c r="Z43" s="1817" t="str">
        <f t="shared" si="12"/>
        <v>内部装修维护情况</v>
      </c>
      <c r="AA43" s="1814">
        <f t="shared" si="3"/>
        <v>1</v>
      </c>
      <c r="AB43" s="1814">
        <f t="shared" si="4"/>
        <v>1</v>
      </c>
      <c r="AC43" s="1814">
        <f t="shared" si="5"/>
        <v>1</v>
      </c>
    </row>
    <row r="44" spans="1:29" s="117" customFormat="1" ht="15">
      <c r="A44" s="474"/>
      <c r="B44" s="1388">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4"/>
      <c r="M44" s="1135"/>
      <c r="N44" s="1135"/>
      <c r="O44" s="1135"/>
      <c r="P44" s="3187"/>
      <c r="Q44" s="1798">
        <f t="shared" si="8"/>
        <v>111</v>
      </c>
      <c r="R44" s="769" t="s">
        <v>17</v>
      </c>
      <c r="S44" s="770">
        <f t="shared" si="9"/>
        <v>100</v>
      </c>
      <c r="T44" s="769" t="s">
        <v>17</v>
      </c>
      <c r="U44" s="770">
        <f t="shared" si="10"/>
        <v>100</v>
      </c>
      <c r="V44" s="769" t="s">
        <v>17</v>
      </c>
      <c r="W44" s="770">
        <f t="shared" si="11"/>
        <v>100</v>
      </c>
      <c r="X44" s="771"/>
      <c r="Y44" s="3189"/>
      <c r="Z44" s="55">
        <f t="shared" si="12"/>
        <v>111</v>
      </c>
      <c r="AA44" s="772">
        <f t="shared" si="3"/>
        <v>1</v>
      </c>
      <c r="AB44" s="772">
        <f t="shared" si="4"/>
        <v>1</v>
      </c>
      <c r="AC44" s="772">
        <f t="shared" si="5"/>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2"/>
      <c r="M45" s="1133"/>
      <c r="N45" s="1133"/>
      <c r="O45" s="1133"/>
      <c r="P45" s="3187"/>
      <c r="Q45" s="1813">
        <f t="shared" si="8"/>
        <v>111</v>
      </c>
      <c r="R45" s="773" t="s">
        <v>17</v>
      </c>
      <c r="S45" s="774">
        <f t="shared" si="9"/>
        <v>100</v>
      </c>
      <c r="T45" s="773" t="s">
        <v>17</v>
      </c>
      <c r="U45" s="774">
        <f t="shared" si="10"/>
        <v>100</v>
      </c>
      <c r="V45" s="773" t="s">
        <v>17</v>
      </c>
      <c r="W45" s="774">
        <f t="shared" si="11"/>
        <v>100</v>
      </c>
      <c r="X45" s="1816"/>
      <c r="Y45" s="3189"/>
      <c r="Z45" s="1817">
        <f t="shared" si="12"/>
        <v>111</v>
      </c>
      <c r="AA45" s="1814">
        <f t="shared" si="3"/>
        <v>1</v>
      </c>
      <c r="AB45" s="1814">
        <f t="shared" si="4"/>
        <v>1</v>
      </c>
      <c r="AC45" s="1814">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2"/>
      <c r="M46" s="1133"/>
      <c r="N46" s="1133"/>
      <c r="O46" s="1133"/>
      <c r="P46" s="3188"/>
      <c r="Q46" s="1813">
        <f t="shared" si="8"/>
        <v>111</v>
      </c>
      <c r="R46" s="773" t="s">
        <v>17</v>
      </c>
      <c r="S46" s="774">
        <f t="shared" si="9"/>
        <v>100</v>
      </c>
      <c r="T46" s="773" t="s">
        <v>17</v>
      </c>
      <c r="U46" s="774">
        <f t="shared" si="10"/>
        <v>100</v>
      </c>
      <c r="V46" s="773" t="s">
        <v>17</v>
      </c>
      <c r="W46" s="774">
        <f t="shared" si="11"/>
        <v>100</v>
      </c>
      <c r="X46" s="1816"/>
      <c r="Y46" s="3190"/>
      <c r="Z46" s="1817">
        <f t="shared" si="12"/>
        <v>111</v>
      </c>
      <c r="AA46" s="1814">
        <f t="shared" si="3"/>
        <v>1</v>
      </c>
      <c r="AB46" s="1814">
        <f t="shared" si="4"/>
        <v>1</v>
      </c>
      <c r="AC46" s="1814">
        <f t="shared" si="5"/>
        <v>1</v>
      </c>
    </row>
    <row r="47" spans="1:29" ht="15">
      <c r="A47" s="480" t="s">
        <v>2575</v>
      </c>
      <c r="B47" s="481"/>
      <c r="C47" s="1409" t="s">
        <v>1</v>
      </c>
      <c r="D47" s="1410"/>
      <c r="E47" s="1411"/>
      <c r="F47" s="1412"/>
      <c r="G47" s="1413"/>
      <c r="H47" s="1414"/>
      <c r="I47" s="1411"/>
      <c r="J47" s="1414"/>
      <c r="K47" s="782"/>
      <c r="L47" s="1145"/>
      <c r="M47" s="1146"/>
      <c r="N47" s="1133"/>
      <c r="O47" s="1146"/>
      <c r="P47" s="3182" t="str">
        <f>A47</f>
        <v>成交单价（元/平方米）</v>
      </c>
      <c r="Q47" s="3182"/>
      <c r="R47" s="3177">
        <f>E47</f>
        <v>0</v>
      </c>
      <c r="S47" s="3177"/>
      <c r="T47" s="3177">
        <f>G47</f>
        <v>0</v>
      </c>
      <c r="U47" s="3177"/>
      <c r="V47" s="3177">
        <f>I47</f>
        <v>0</v>
      </c>
      <c r="W47" s="3177"/>
      <c r="X47" s="758"/>
      <c r="Y47" s="780"/>
      <c r="Z47" s="758"/>
      <c r="AA47" s="758"/>
      <c r="AB47" s="758"/>
      <c r="AC47" s="758"/>
    </row>
    <row r="48" spans="1:29" ht="15.75" thickBot="1">
      <c r="A48" s="487" t="s">
        <v>2666</v>
      </c>
      <c r="B48" s="488"/>
      <c r="C48" s="1415" t="e">
        <f>R49</f>
        <v>#DIV/0!</v>
      </c>
      <c r="D48" s="1416"/>
      <c r="E48" s="1417" t="e">
        <f>R48</f>
        <v>#DIV/0!</v>
      </c>
      <c r="F48" s="1417"/>
      <c r="G48" s="1415" t="e">
        <f>T48</f>
        <v>#DIV/0!</v>
      </c>
      <c r="H48" s="1416"/>
      <c r="I48" s="1417" t="e">
        <f>V48</f>
        <v>#DIV/0!</v>
      </c>
      <c r="J48" s="1416"/>
      <c r="K48" s="783"/>
      <c r="L48" s="1145"/>
      <c r="M48" s="1146"/>
      <c r="N48" s="1133"/>
      <c r="O48" s="1146"/>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8"/>
      <c r="Y48" s="758"/>
      <c r="Z48" s="758"/>
      <c r="AA48" s="758"/>
      <c r="AB48" s="758"/>
      <c r="AC48" s="758"/>
    </row>
    <row r="49" spans="1:29" ht="15.75" thickBot="1">
      <c r="A49" s="493" t="s">
        <v>2667</v>
      </c>
      <c r="B49" s="494"/>
      <c r="C49" s="1419" t="e">
        <f>R49</f>
        <v>#DIV/0!</v>
      </c>
      <c r="D49" s="1419"/>
      <c r="E49" s="1419"/>
      <c r="F49" s="1419"/>
      <c r="G49" s="1419"/>
      <c r="H49" s="1419"/>
      <c r="I49" s="1419"/>
      <c r="J49" s="1419"/>
      <c r="K49" s="784"/>
      <c r="L49" s="1145"/>
      <c r="M49" s="1146"/>
      <c r="N49" s="1133"/>
      <c r="O49" s="1146"/>
      <c r="P49" s="3179" t="str">
        <f>A49</f>
        <v>估价对象XX用房的比较价值（楼面单价，元/平方米）</v>
      </c>
      <c r="Q49" s="3180"/>
      <c r="R49" s="3181" t="e">
        <f>IF(F1="售价",ROUND(AVERAGE(R48:V48),0),ROUND(AVERAGE(R48:V48),1))</f>
        <v>#DIV/0!</v>
      </c>
      <c r="S49" s="3181"/>
      <c r="T49" s="3181"/>
      <c r="U49" s="3181"/>
      <c r="V49" s="3181"/>
      <c r="W49" s="318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6"/>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6"/>
      <c r="Q51" s="758"/>
      <c r="R51" s="758"/>
      <c r="S51" s="758"/>
      <c r="T51" s="758"/>
      <c r="U51" s="758"/>
      <c r="V51" s="758"/>
      <c r="W51" s="758"/>
      <c r="X51" s="758"/>
      <c r="Y51" s="758"/>
      <c r="Z51" s="758"/>
      <c r="AA51" s="758"/>
      <c r="AB51" s="758"/>
      <c r="AC51" s="758"/>
    </row>
    <row r="52" spans="1:29" ht="13.5" customHeight="1">
      <c r="A52" s="1146"/>
      <c r="B52" s="1146"/>
      <c r="C52" s="498" t="s">
        <v>2668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7"/>
      <c r="L52" s="1108"/>
      <c r="M52" s="1146"/>
      <c r="N52" s="1146"/>
      <c r="O52" s="1146"/>
      <c r="P52" s="676"/>
      <c r="Q52" s="758"/>
      <c r="R52" s="758"/>
      <c r="S52" s="758"/>
      <c r="T52" s="758"/>
      <c r="U52" s="758"/>
      <c r="V52" s="758"/>
      <c r="W52" s="758"/>
      <c r="X52" s="758"/>
      <c r="Y52" s="758"/>
      <c r="Z52" s="758"/>
      <c r="AA52" s="758"/>
      <c r="AB52" s="758"/>
      <c r="AC52" s="758"/>
    </row>
    <row r="53" spans="1:29" ht="13.5" customHeight="1">
      <c r="A53" s="1146"/>
      <c r="B53" s="1146"/>
      <c r="C53" s="498" t="s">
        <v>2669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7"/>
      <c r="L53" s="1108"/>
      <c r="M53" s="1146"/>
      <c r="N53" s="1146"/>
      <c r="O53" s="1146"/>
      <c r="P53" s="676"/>
      <c r="Q53" s="758"/>
      <c r="R53" s="758"/>
      <c r="S53" s="758"/>
      <c r="T53" s="758"/>
      <c r="U53" s="758"/>
      <c r="V53" s="758"/>
      <c r="W53" s="758"/>
      <c r="X53" s="758"/>
      <c r="Y53" s="758"/>
      <c r="Z53" s="758"/>
      <c r="AA53" s="758"/>
      <c r="AB53" s="758"/>
      <c r="AC53" s="758"/>
    </row>
    <row r="54" spans="1:29" s="503" customFormat="1" ht="13.5" customHeight="1">
      <c r="A54" s="1147"/>
      <c r="B54" s="1147"/>
      <c r="C54" s="498" t="s">
        <v>2670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3"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6"/>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9" customFormat="1" ht="15">
      <c r="A58" s="506" t="s">
        <v>2546</v>
      </c>
      <c r="B58" s="507"/>
      <c r="C58" s="1577" t="str">
        <f>YEAR(C7)&amp;"-"&amp;MONTH(C7)</f>
        <v>2017-11</v>
      </c>
      <c r="D58" s="1578">
        <f>EDATE(C58,-1)</f>
        <v>43009</v>
      </c>
      <c r="E58" s="1578">
        <f t="shared" ref="E58:N58" si="13">EDATE(D58,-1)</f>
        <v>42979</v>
      </c>
      <c r="F58" s="1578">
        <f t="shared" si="13"/>
        <v>42948</v>
      </c>
      <c r="G58" s="1578">
        <f t="shared" si="13"/>
        <v>42917</v>
      </c>
      <c r="H58" s="1578">
        <f t="shared" si="13"/>
        <v>42887</v>
      </c>
      <c r="I58" s="1578">
        <f t="shared" si="13"/>
        <v>42856</v>
      </c>
      <c r="J58" s="1578">
        <f t="shared" si="13"/>
        <v>42826</v>
      </c>
      <c r="K58" s="1578">
        <f t="shared" si="13"/>
        <v>42795</v>
      </c>
      <c r="L58" s="1578">
        <f t="shared" si="13"/>
        <v>42767</v>
      </c>
      <c r="M58" s="1578">
        <f t="shared" si="13"/>
        <v>42736</v>
      </c>
      <c r="N58" s="1578">
        <f t="shared" si="13"/>
        <v>42705</v>
      </c>
      <c r="O58" s="1578">
        <f>EDATE(N58,-1)</f>
        <v>42675</v>
      </c>
      <c r="P58" s="1573"/>
    </row>
    <row r="59" spans="1:29" s="117" customFormat="1" ht="15">
      <c r="A59" s="510"/>
      <c r="B59" s="511"/>
      <c r="C59" s="1576">
        <v>100</v>
      </c>
      <c r="D59" s="513"/>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2548</v>
      </c>
      <c r="B61" s="511"/>
      <c r="C61" s="523" t="s">
        <v>2649</v>
      </c>
      <c r="D61" s="524"/>
      <c r="E61" s="524"/>
      <c r="F61" s="524"/>
      <c r="G61" s="524"/>
      <c r="H61" s="524"/>
      <c r="I61" s="524"/>
      <c r="J61" s="524"/>
      <c r="K61" s="524"/>
      <c r="L61" s="525"/>
      <c r="M61" s="526"/>
      <c r="N61" s="1153"/>
      <c r="O61" s="1153"/>
      <c r="P61" s="2632"/>
      <c r="Q61" s="505"/>
    </row>
    <row r="62" spans="1:29" s="117" customFormat="1" ht="15.75" thickBot="1">
      <c r="A62" s="522"/>
      <c r="B62" s="511"/>
      <c r="C62" s="512">
        <v>100</v>
      </c>
      <c r="D62" s="513"/>
      <c r="E62" s="513"/>
      <c r="F62" s="513"/>
      <c r="G62" s="513"/>
      <c r="H62" s="513"/>
      <c r="I62" s="513"/>
      <c r="J62" s="513"/>
      <c r="K62" s="513"/>
      <c r="L62" s="513"/>
      <c r="M62" s="515"/>
      <c r="N62" s="1153"/>
      <c r="O62" s="1153"/>
      <c r="P62" s="2631"/>
      <c r="Q62" s="505"/>
    </row>
    <row r="63" spans="1:29">
      <c r="A63" s="528" t="s">
        <v>2585</v>
      </c>
      <c r="B63" s="529" t="s">
        <v>2552</v>
      </c>
      <c r="C63" s="530">
        <f>C9</f>
        <v>0</v>
      </c>
      <c r="D63" s="531"/>
      <c r="E63" s="531"/>
      <c r="F63" s="531"/>
      <c r="G63" s="531"/>
      <c r="H63" s="531"/>
      <c r="I63" s="531"/>
      <c r="J63" s="531"/>
      <c r="K63" s="532"/>
      <c r="L63" s="533"/>
      <c r="M63" s="534"/>
      <c r="N63" s="1154"/>
      <c r="O63" s="1154"/>
      <c r="P63" s="2633"/>
      <c r="Q63" s="505"/>
    </row>
    <row r="64" spans="1:29" ht="15.75" thickBot="1">
      <c r="A64" s="535"/>
      <c r="B64" s="536"/>
      <c r="C64" s="537">
        <v>100</v>
      </c>
      <c r="D64" s="537"/>
      <c r="E64" s="537"/>
      <c r="F64" s="537"/>
      <c r="G64" s="537"/>
      <c r="H64" s="537"/>
      <c r="I64" s="537"/>
      <c r="J64" s="537"/>
      <c r="K64" s="537"/>
      <c r="L64" s="537"/>
      <c r="M64" s="538"/>
      <c r="N64" s="1155"/>
      <c r="O64" s="1155"/>
      <c r="P64" s="2633"/>
      <c r="Q64" s="505"/>
    </row>
    <row r="65" spans="1:17" ht="27.75" thickTop="1">
      <c r="A65" s="535"/>
      <c r="B65" s="539" t="s">
        <v>2555</v>
      </c>
      <c r="C65" s="540" t="s">
        <v>2586</v>
      </c>
      <c r="D65" s="540" t="s">
        <v>2587</v>
      </c>
      <c r="E65" s="540" t="s">
        <v>2588</v>
      </c>
      <c r="F65" s="540" t="s">
        <v>2589</v>
      </c>
      <c r="G65" s="540" t="s">
        <v>2590</v>
      </c>
      <c r="H65" s="540" t="s">
        <v>2591</v>
      </c>
      <c r="I65" s="540" t="s">
        <v>2592</v>
      </c>
      <c r="J65" s="540"/>
      <c r="K65" s="541"/>
      <c r="L65" s="542"/>
      <c r="M65" s="543"/>
      <c r="N65" s="1154"/>
      <c r="O65" s="1154"/>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5"/>
      <c r="O66" s="1155"/>
      <c r="P66" s="2633"/>
      <c r="Q66" s="505"/>
    </row>
    <row r="67" spans="1:17" ht="15.75" thickTop="1">
      <c r="A67" s="535"/>
      <c r="B67" s="547" t="s">
        <v>2556</v>
      </c>
      <c r="C67" s="548" t="str">
        <f>C68&amp;"（含）"&amp;"-"&amp;D68</f>
        <v>（含）-</v>
      </c>
      <c r="D67" s="548" t="str">
        <f t="shared" ref="D67:L67" si="14">D68&amp;"（含）"&amp;"-"&amp;E68</f>
        <v>（含）-</v>
      </c>
      <c r="E67" s="548" t="str">
        <f t="shared" si="14"/>
        <v>（含）-</v>
      </c>
      <c r="F67" s="548" t="str">
        <f t="shared" si="14"/>
        <v>（含）-</v>
      </c>
      <c r="G67" s="548" t="str">
        <f t="shared" si="14"/>
        <v>（含）-</v>
      </c>
      <c r="H67" s="548" t="str">
        <f t="shared" si="14"/>
        <v>（含）-</v>
      </c>
      <c r="I67" s="548" t="str">
        <f t="shared" si="14"/>
        <v>（含）-</v>
      </c>
      <c r="J67" s="548" t="str">
        <f t="shared" si="14"/>
        <v>（含）-</v>
      </c>
      <c r="K67" s="548" t="str">
        <f t="shared" si="14"/>
        <v>（含）-</v>
      </c>
      <c r="L67" s="548" t="str">
        <f t="shared" si="14"/>
        <v>（含）-</v>
      </c>
      <c r="M67" s="449" t="str">
        <f>M68&amp;"（含）"&amp;"-"&amp;P68</f>
        <v>（含）-</v>
      </c>
      <c r="N67" s="1155"/>
      <c r="O67" s="1155"/>
      <c r="P67" s="2633"/>
      <c r="Q67" s="505"/>
    </row>
    <row r="68" spans="1:17" ht="15">
      <c r="A68" s="535"/>
      <c r="B68" s="549"/>
      <c r="C68" s="550"/>
      <c r="D68" s="550"/>
      <c r="E68" s="550"/>
      <c r="F68" s="550"/>
      <c r="G68" s="550"/>
      <c r="H68" s="550"/>
      <c r="I68" s="550"/>
      <c r="J68" s="550"/>
      <c r="K68" s="551"/>
      <c r="L68" s="552"/>
      <c r="M68" s="553"/>
      <c r="N68" s="1154"/>
      <c r="O68" s="1154"/>
      <c r="P68" s="2633"/>
      <c r="Q68" s="505"/>
    </row>
    <row r="69" spans="1:17" ht="15.75" thickBot="1">
      <c r="A69" s="535"/>
      <c r="B69" s="536"/>
      <c r="C69" s="545">
        <v>100</v>
      </c>
      <c r="D69" s="545">
        <f t="shared" ref="D69:M69" si="15">C69-$K11</f>
        <v>100</v>
      </c>
      <c r="E69" s="545">
        <f t="shared" si="15"/>
        <v>100</v>
      </c>
      <c r="F69" s="545">
        <f t="shared" si="15"/>
        <v>100</v>
      </c>
      <c r="G69" s="545">
        <f t="shared" si="15"/>
        <v>100</v>
      </c>
      <c r="H69" s="545">
        <f t="shared" si="15"/>
        <v>100</v>
      </c>
      <c r="I69" s="545">
        <f t="shared" si="15"/>
        <v>100</v>
      </c>
      <c r="J69" s="545">
        <f t="shared" si="15"/>
        <v>100</v>
      </c>
      <c r="K69" s="545">
        <f t="shared" si="15"/>
        <v>100</v>
      </c>
      <c r="L69" s="545">
        <f t="shared" si="15"/>
        <v>100</v>
      </c>
      <c r="M69" s="546">
        <f t="shared" si="15"/>
        <v>100</v>
      </c>
      <c r="N69" s="1155"/>
      <c r="O69" s="1155"/>
      <c r="P69" s="2633"/>
      <c r="Q69" s="505"/>
    </row>
    <row r="70" spans="1:17" s="472" customFormat="1" ht="15.75" thickTop="1">
      <c r="A70" s="554"/>
      <c r="B70" s="539">
        <f>B12</f>
        <v>111</v>
      </c>
      <c r="C70" s="555"/>
      <c r="D70" s="555"/>
      <c r="E70" s="555"/>
      <c r="F70" s="555"/>
      <c r="G70" s="555"/>
      <c r="H70" s="556"/>
      <c r="I70" s="556"/>
      <c r="J70" s="556"/>
      <c r="K70" s="556"/>
      <c r="L70" s="557"/>
      <c r="M70" s="558"/>
      <c r="N70" s="1156"/>
      <c r="O70" s="1156"/>
      <c r="P70" s="2634"/>
      <c r="Q70" s="560"/>
    </row>
    <row r="71" spans="1:17" s="472" customFormat="1" ht="15.75" thickBot="1">
      <c r="A71" s="554"/>
      <c r="B71" s="544"/>
      <c r="C71" s="561"/>
      <c r="D71" s="537"/>
      <c r="E71" s="537"/>
      <c r="F71" s="537"/>
      <c r="G71" s="537"/>
      <c r="H71" s="537"/>
      <c r="I71" s="537"/>
      <c r="J71" s="537"/>
      <c r="K71" s="537"/>
      <c r="L71" s="537"/>
      <c r="M71" s="538"/>
      <c r="N71" s="1155"/>
      <c r="O71" s="1155"/>
      <c r="P71" s="2634"/>
      <c r="Q71" s="560"/>
    </row>
    <row r="72" spans="1:17" s="472" customFormat="1" ht="15.75" thickTop="1">
      <c r="A72" s="554"/>
      <c r="B72" s="539">
        <f>B13</f>
        <v>111</v>
      </c>
      <c r="C72" s="555"/>
      <c r="D72" s="555"/>
      <c r="E72" s="555"/>
      <c r="F72" s="555"/>
      <c r="G72" s="555"/>
      <c r="H72" s="556"/>
      <c r="I72" s="556"/>
      <c r="J72" s="556"/>
      <c r="K72" s="556"/>
      <c r="L72" s="557"/>
      <c r="M72" s="558"/>
      <c r="N72" s="1156"/>
      <c r="O72" s="1156"/>
      <c r="P72" s="2635"/>
      <c r="Q72" s="562"/>
    </row>
    <row r="73" spans="1:17" s="472" customFormat="1" ht="15.75" thickBot="1">
      <c r="A73" s="554"/>
      <c r="B73" s="544"/>
      <c r="C73" s="561"/>
      <c r="D73" s="537"/>
      <c r="E73" s="537"/>
      <c r="F73" s="537"/>
      <c r="G73" s="561"/>
      <c r="H73" s="563"/>
      <c r="I73" s="563"/>
      <c r="J73" s="563"/>
      <c r="K73" s="563"/>
      <c r="L73" s="563"/>
      <c r="M73" s="564"/>
      <c r="N73" s="1156"/>
      <c r="O73" s="1156"/>
      <c r="P73" s="2634"/>
      <c r="Q73" s="560"/>
    </row>
    <row r="74" spans="1:17" s="472" customFormat="1" ht="15.75" thickTop="1">
      <c r="A74" s="554"/>
      <c r="B74" s="547">
        <f>B14</f>
        <v>111</v>
      </c>
      <c r="C74" s="555"/>
      <c r="D74" s="555"/>
      <c r="E74" s="555"/>
      <c r="F74" s="555"/>
      <c r="G74" s="524"/>
      <c r="H74" s="565"/>
      <c r="I74" s="565"/>
      <c r="J74" s="565"/>
      <c r="K74" s="565"/>
      <c r="L74" s="566"/>
      <c r="M74" s="567"/>
      <c r="N74" s="1156"/>
      <c r="O74" s="1156"/>
      <c r="P74" s="2636"/>
      <c r="Q74" s="560"/>
    </row>
    <row r="75" spans="1:17" s="472" customFormat="1" ht="15.75" thickBot="1">
      <c r="A75" s="569"/>
      <c r="B75" s="570"/>
      <c r="C75" s="571"/>
      <c r="D75" s="571"/>
      <c r="E75" s="571"/>
      <c r="F75" s="571"/>
      <c r="G75" s="571"/>
      <c r="H75" s="572"/>
      <c r="I75" s="572"/>
      <c r="J75" s="572"/>
      <c r="K75" s="572"/>
      <c r="L75" s="572"/>
      <c r="M75" s="573"/>
      <c r="N75" s="1156"/>
      <c r="O75" s="1156"/>
      <c r="P75" s="2634"/>
      <c r="Q75" s="560"/>
    </row>
    <row r="76" spans="1:17">
      <c r="A76" s="528" t="s">
        <v>2557</v>
      </c>
      <c r="B76" s="529" t="s">
        <v>2593</v>
      </c>
      <c r="C76" s="574" t="s">
        <v>2594</v>
      </c>
      <c r="D76" s="574" t="s">
        <v>2595</v>
      </c>
      <c r="E76" s="574" t="s">
        <v>2596</v>
      </c>
      <c r="F76" s="574" t="s">
        <v>2597</v>
      </c>
      <c r="G76" s="574" t="s">
        <v>2598</v>
      </c>
      <c r="H76" s="530"/>
      <c r="I76" s="530"/>
      <c r="J76" s="530"/>
      <c r="K76" s="575"/>
      <c r="L76" s="576"/>
      <c r="M76" s="577"/>
      <c r="N76" s="1154"/>
      <c r="O76" s="1154"/>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5"/>
      <c r="O77" s="1155"/>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4"/>
      <c r="O78" s="1154"/>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5"/>
      <c r="O79" s="1155"/>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4"/>
      <c r="O80" s="1154"/>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5"/>
      <c r="O81" s="1155"/>
      <c r="P81" s="2633"/>
      <c r="Q81" s="505"/>
    </row>
    <row r="82" spans="1:17" ht="15.75" thickTop="1">
      <c r="A82" s="535"/>
      <c r="B82" s="547" t="s">
        <v>2652</v>
      </c>
      <c r="C82" s="661" t="s">
        <v>2672</v>
      </c>
      <c r="D82" s="661" t="s">
        <v>2673</v>
      </c>
      <c r="E82" s="661" t="s">
        <v>2674</v>
      </c>
      <c r="F82" s="661" t="s">
        <v>2675</v>
      </c>
      <c r="G82" s="661" t="s">
        <v>2676</v>
      </c>
      <c r="H82" s="540"/>
      <c r="I82" s="540"/>
      <c r="J82" s="540"/>
      <c r="K82" s="540"/>
      <c r="L82" s="540"/>
      <c r="M82" s="1384"/>
      <c r="N82" s="1155"/>
      <c r="O82" s="1155"/>
      <c r="P82" s="2633"/>
      <c r="Q82" s="505"/>
    </row>
    <row r="83" spans="1:17" ht="15.75" thickBot="1">
      <c r="A83" s="535"/>
      <c r="B83" s="547"/>
      <c r="C83" s="545">
        <v>100</v>
      </c>
      <c r="D83" s="545">
        <f>C83-$K21</f>
        <v>100</v>
      </c>
      <c r="E83" s="545">
        <f>D83-$K21</f>
        <v>100</v>
      </c>
      <c r="F83" s="545">
        <f>E83-$K21</f>
        <v>100</v>
      </c>
      <c r="G83" s="545">
        <f>F83-$K21</f>
        <v>100</v>
      </c>
      <c r="H83" s="661"/>
      <c r="I83" s="661"/>
      <c r="J83" s="661"/>
      <c r="K83" s="661"/>
      <c r="L83" s="661"/>
      <c r="M83" s="451"/>
      <c r="N83" s="1155"/>
      <c r="O83" s="1155"/>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4"/>
      <c r="O84" s="1154"/>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5"/>
      <c r="O85" s="1155"/>
      <c r="P85" s="2633"/>
      <c r="Q85" s="505"/>
    </row>
    <row r="86" spans="1:17" s="117" customFormat="1" ht="15.75" thickTop="1">
      <c r="A86" s="580"/>
      <c r="B86" s="539" t="s">
        <v>2677</v>
      </c>
      <c r="C86" s="555"/>
      <c r="D86" s="555"/>
      <c r="E86" s="555"/>
      <c r="F86" s="555"/>
      <c r="G86" s="555"/>
      <c r="H86" s="555"/>
      <c r="I86" s="555"/>
      <c r="J86" s="555"/>
      <c r="K86" s="555"/>
      <c r="L86" s="581"/>
      <c r="M86" s="582"/>
      <c r="N86" s="1153"/>
      <c r="O86" s="1153"/>
      <c r="P86" s="2633"/>
      <c r="Q86" s="505"/>
    </row>
    <row r="87" spans="1:17" s="117" customFormat="1" ht="15.75" thickBot="1">
      <c r="A87" s="580"/>
      <c r="B87" s="544"/>
      <c r="C87" s="583">
        <v>100</v>
      </c>
      <c r="D87" s="545">
        <f t="shared" ref="D87:M87" si="16">C87-$K25</f>
        <v>100</v>
      </c>
      <c r="E87" s="545">
        <f t="shared" si="16"/>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5"/>
      <c r="O87" s="1155"/>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3"/>
      <c r="O88" s="1153"/>
      <c r="P88" s="2633"/>
      <c r="Q88" s="505"/>
    </row>
    <row r="89" spans="1:17" s="117" customFormat="1" ht="15.75" thickBot="1">
      <c r="A89" s="580"/>
      <c r="B89" s="544"/>
      <c r="C89" s="561"/>
      <c r="D89" s="537"/>
      <c r="E89" s="537"/>
      <c r="F89" s="537"/>
      <c r="G89" s="537"/>
      <c r="H89" s="537"/>
      <c r="I89" s="537"/>
      <c r="J89" s="537"/>
      <c r="K89" s="537"/>
      <c r="L89" s="537"/>
      <c r="M89" s="537"/>
      <c r="N89" s="1155"/>
      <c r="O89" s="1155"/>
      <c r="P89" s="2633"/>
      <c r="Q89" s="505"/>
    </row>
    <row r="90" spans="1:17" s="472" customFormat="1" ht="15.75" thickTop="1">
      <c r="A90" s="554"/>
      <c r="B90" s="539" t="str">
        <f>B27</f>
        <v>人流量</v>
      </c>
      <c r="C90" s="555"/>
      <c r="D90" s="555"/>
      <c r="E90" s="555"/>
      <c r="F90" s="555"/>
      <c r="G90" s="555"/>
      <c r="H90" s="556"/>
      <c r="I90" s="556"/>
      <c r="J90" s="556"/>
      <c r="K90" s="556"/>
      <c r="L90" s="557"/>
      <c r="M90" s="558"/>
      <c r="N90" s="1156"/>
      <c r="O90" s="1156"/>
      <c r="P90" s="2634"/>
      <c r="Q90" s="560"/>
    </row>
    <row r="91" spans="1:17" s="472" customFormat="1" ht="15.75" thickBot="1">
      <c r="A91" s="554"/>
      <c r="B91" s="544"/>
      <c r="C91" s="583">
        <v>100</v>
      </c>
      <c r="D91" s="545">
        <f>C91-$K27</f>
        <v>100</v>
      </c>
      <c r="E91" s="545">
        <f t="shared" ref="E91:M91" si="17">D91-$K27</f>
        <v>100</v>
      </c>
      <c r="F91" s="545">
        <f t="shared" si="17"/>
        <v>100</v>
      </c>
      <c r="G91" s="545">
        <f t="shared" si="17"/>
        <v>100</v>
      </c>
      <c r="H91" s="545">
        <f t="shared" si="17"/>
        <v>100</v>
      </c>
      <c r="I91" s="545">
        <f t="shared" si="17"/>
        <v>100</v>
      </c>
      <c r="J91" s="545">
        <f t="shared" si="17"/>
        <v>100</v>
      </c>
      <c r="K91" s="545">
        <f t="shared" si="17"/>
        <v>100</v>
      </c>
      <c r="L91" s="545">
        <f t="shared" si="17"/>
        <v>100</v>
      </c>
      <c r="M91" s="545">
        <f t="shared" si="17"/>
        <v>100</v>
      </c>
      <c r="N91" s="1156"/>
      <c r="O91" s="1156"/>
      <c r="P91" s="2634"/>
      <c r="Q91" s="560"/>
    </row>
    <row r="92" spans="1:17" ht="15.75" thickTop="1">
      <c r="A92" s="535"/>
      <c r="B92" s="539" t="str">
        <f>B28</f>
        <v>楼层</v>
      </c>
      <c r="C92" s="555"/>
      <c r="D92" s="555"/>
      <c r="E92" s="555"/>
      <c r="F92" s="555"/>
      <c r="G92" s="555"/>
      <c r="H92" s="555"/>
      <c r="I92" s="555"/>
      <c r="J92" s="555"/>
      <c r="K92" s="555"/>
      <c r="L92" s="581"/>
      <c r="M92" s="582"/>
      <c r="N92" s="1154"/>
      <c r="O92" s="1154"/>
      <c r="P92" s="2633"/>
      <c r="Q92" s="505"/>
    </row>
    <row r="93" spans="1:17" ht="15.75" thickBot="1">
      <c r="A93" s="535"/>
      <c r="B93" s="544"/>
      <c r="C93" s="537"/>
      <c r="D93" s="537"/>
      <c r="E93" s="537"/>
      <c r="F93" s="537"/>
      <c r="G93" s="537"/>
      <c r="H93" s="537"/>
      <c r="I93" s="537"/>
      <c r="J93" s="537"/>
      <c r="K93" s="537"/>
      <c r="L93" s="537"/>
      <c r="M93" s="538"/>
      <c r="N93" s="1155"/>
      <c r="O93" s="1155"/>
      <c r="P93" s="2633"/>
      <c r="Q93" s="505"/>
    </row>
    <row r="94" spans="1:17" ht="15.75" thickTop="1">
      <c r="A94" s="535"/>
      <c r="B94" s="539">
        <f>B29</f>
        <v>111</v>
      </c>
      <c r="C94" s="555"/>
      <c r="D94" s="555"/>
      <c r="E94" s="555"/>
      <c r="F94" s="555"/>
      <c r="G94" s="584"/>
      <c r="H94" s="584"/>
      <c r="I94" s="584"/>
      <c r="J94" s="584"/>
      <c r="K94" s="585"/>
      <c r="L94" s="586"/>
      <c r="M94" s="587"/>
      <c r="N94" s="1154"/>
      <c r="O94" s="1154"/>
      <c r="P94" s="2633"/>
      <c r="Q94" s="505"/>
    </row>
    <row r="95" spans="1:17" ht="15.75" thickBot="1">
      <c r="A95" s="535"/>
      <c r="B95" s="544"/>
      <c r="C95" s="561"/>
      <c r="D95" s="537"/>
      <c r="E95" s="537"/>
      <c r="F95" s="537"/>
      <c r="G95" s="537"/>
      <c r="H95" s="537"/>
      <c r="I95" s="537"/>
      <c r="J95" s="537"/>
      <c r="K95" s="537"/>
      <c r="L95" s="537"/>
      <c r="M95" s="538"/>
      <c r="N95" s="1155"/>
      <c r="O95" s="1155"/>
      <c r="P95" s="2633"/>
      <c r="Q95" s="505"/>
    </row>
    <row r="96" spans="1:17" ht="15.75" thickTop="1">
      <c r="A96" s="535"/>
      <c r="B96" s="539">
        <f>B30</f>
        <v>111</v>
      </c>
      <c r="C96" s="555"/>
      <c r="D96" s="555"/>
      <c r="E96" s="555"/>
      <c r="F96" s="555"/>
      <c r="G96" s="584"/>
      <c r="H96" s="584"/>
      <c r="I96" s="584"/>
      <c r="J96" s="584"/>
      <c r="K96" s="585"/>
      <c r="L96" s="586"/>
      <c r="M96" s="587"/>
      <c r="N96" s="1154"/>
      <c r="O96" s="1154"/>
      <c r="P96" s="2633"/>
      <c r="Q96" s="505"/>
    </row>
    <row r="97" spans="1:17" ht="15.75" thickBot="1">
      <c r="A97" s="535"/>
      <c r="B97" s="544"/>
      <c r="C97" s="561"/>
      <c r="D97" s="537"/>
      <c r="E97" s="537"/>
      <c r="F97" s="537"/>
      <c r="G97" s="537"/>
      <c r="H97" s="537"/>
      <c r="I97" s="537"/>
      <c r="J97" s="537"/>
      <c r="K97" s="537"/>
      <c r="L97" s="537"/>
      <c r="M97" s="538"/>
      <c r="N97" s="1155"/>
      <c r="O97" s="1155"/>
      <c r="P97" s="2633"/>
      <c r="Q97" s="505"/>
    </row>
    <row r="98" spans="1:17" ht="15.75" thickTop="1">
      <c r="A98" s="535"/>
      <c r="B98" s="547">
        <f>B31</f>
        <v>111</v>
      </c>
      <c r="C98" s="555"/>
      <c r="D98" s="555"/>
      <c r="E98" s="555"/>
      <c r="F98" s="555"/>
      <c r="G98" s="588"/>
      <c r="H98" s="588"/>
      <c r="I98" s="588"/>
      <c r="J98" s="588"/>
      <c r="K98" s="589"/>
      <c r="L98" s="590"/>
      <c r="M98" s="591"/>
      <c r="N98" s="1154"/>
      <c r="O98" s="1154"/>
      <c r="P98" s="2633"/>
      <c r="Q98" s="505"/>
    </row>
    <row r="99" spans="1:17" ht="15.75" thickBot="1">
      <c r="A99" s="2639"/>
      <c r="B99" s="570"/>
      <c r="C99" s="571"/>
      <c r="D99" s="571"/>
      <c r="E99" s="571"/>
      <c r="F99" s="571"/>
      <c r="G99" s="592"/>
      <c r="H99" s="592"/>
      <c r="I99" s="592"/>
      <c r="J99" s="592"/>
      <c r="K99" s="592"/>
      <c r="L99" s="592"/>
      <c r="M99" s="593"/>
      <c r="N99" s="1155"/>
      <c r="O99" s="1155"/>
      <c r="P99" s="2633"/>
      <c r="Q99" s="505"/>
    </row>
    <row r="100" spans="1:17">
      <c r="A100" s="528" t="s">
        <v>2561</v>
      </c>
      <c r="B100" s="529" t="s">
        <v>2678</v>
      </c>
      <c r="C100" s="531"/>
      <c r="D100" s="531"/>
      <c r="E100" s="531"/>
      <c r="F100" s="531"/>
      <c r="G100" s="531"/>
      <c r="H100" s="531"/>
      <c r="I100" s="531"/>
      <c r="J100" s="531"/>
      <c r="K100" s="532"/>
      <c r="L100" s="533"/>
      <c r="M100" s="534"/>
      <c r="N100" s="1154"/>
      <c r="O100" s="1154"/>
      <c r="P100" s="2633"/>
      <c r="Q100" s="505"/>
    </row>
    <row r="101" spans="1:17" ht="15.75" thickBot="1">
      <c r="A101" s="535"/>
      <c r="B101" s="544"/>
      <c r="C101" s="545">
        <v>100</v>
      </c>
      <c r="D101" s="545">
        <f t="shared" ref="D101:M101" si="18">C101-$K32</f>
        <v>100</v>
      </c>
      <c r="E101" s="545">
        <f t="shared" si="18"/>
        <v>100</v>
      </c>
      <c r="F101" s="545">
        <f t="shared" si="18"/>
        <v>100</v>
      </c>
      <c r="G101" s="545">
        <f t="shared" si="18"/>
        <v>100</v>
      </c>
      <c r="H101" s="545">
        <f t="shared" si="18"/>
        <v>100</v>
      </c>
      <c r="I101" s="545">
        <f t="shared" si="18"/>
        <v>100</v>
      </c>
      <c r="J101" s="545">
        <f t="shared" si="18"/>
        <v>100</v>
      </c>
      <c r="K101" s="545">
        <f t="shared" si="18"/>
        <v>100</v>
      </c>
      <c r="L101" s="545">
        <f t="shared" si="18"/>
        <v>100</v>
      </c>
      <c r="M101" s="546">
        <f t="shared" si="18"/>
        <v>100</v>
      </c>
      <c r="N101" s="1155"/>
      <c r="O101" s="1155"/>
      <c r="P101" s="2633"/>
      <c r="Q101" s="505"/>
    </row>
    <row r="102" spans="1:17" ht="15.75" thickTop="1">
      <c r="A102" s="535"/>
      <c r="B102" s="539" t="s">
        <v>2610</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623" t="str">
        <f>M103&amp;"(含)"&amp;"-"&amp;P103</f>
        <v>(含)-</v>
      </c>
      <c r="N102" s="1153"/>
      <c r="O102" s="1153"/>
      <c r="P102" s="2633"/>
      <c r="Q102" s="505"/>
    </row>
    <row r="103" spans="1:17" s="472" customFormat="1">
      <c r="A103" s="594"/>
      <c r="B103" s="595"/>
      <c r="C103" s="596"/>
      <c r="D103" s="596"/>
      <c r="E103" s="596"/>
      <c r="F103" s="596"/>
      <c r="G103" s="596"/>
      <c r="H103" s="596"/>
      <c r="I103" s="596"/>
      <c r="J103" s="597"/>
      <c r="K103" s="597"/>
      <c r="L103" s="598"/>
      <c r="M103" s="599"/>
      <c r="N103" s="1156"/>
      <c r="O103" s="1156"/>
      <c r="P103" s="2634"/>
      <c r="Q103" s="560"/>
    </row>
    <row r="104" spans="1:17" s="472" customFormat="1" ht="15.75" thickBot="1">
      <c r="A104" s="554"/>
      <c r="B104" s="544"/>
      <c r="C104" s="561"/>
      <c r="D104" s="537"/>
      <c r="E104" s="537"/>
      <c r="F104" s="537"/>
      <c r="G104" s="537"/>
      <c r="H104" s="537"/>
      <c r="I104" s="537"/>
      <c r="J104" s="537"/>
      <c r="K104" s="537"/>
      <c r="L104" s="537"/>
      <c r="M104" s="538"/>
      <c r="N104" s="1155"/>
      <c r="O104" s="1155"/>
      <c r="P104" s="2634"/>
      <c r="Q104" s="560"/>
    </row>
    <row r="105" spans="1:17" ht="15" thickTop="1">
      <c r="A105" s="600"/>
      <c r="B105" s="539" t="s">
        <v>2611</v>
      </c>
      <c r="C105" s="555"/>
      <c r="D105" s="555"/>
      <c r="E105" s="584"/>
      <c r="F105" s="584"/>
      <c r="G105" s="584"/>
      <c r="H105" s="584"/>
      <c r="I105" s="584"/>
      <c r="J105" s="584"/>
      <c r="K105" s="585"/>
      <c r="L105" s="586"/>
      <c r="M105" s="587"/>
      <c r="N105" s="1154"/>
      <c r="O105" s="1154"/>
      <c r="P105" s="2633"/>
      <c r="Q105" s="505"/>
    </row>
    <row r="106" spans="1:17" ht="15.75" thickBot="1">
      <c r="A106" s="535"/>
      <c r="B106" s="544"/>
      <c r="C106" s="545">
        <v>100</v>
      </c>
      <c r="D106" s="545">
        <f t="shared" ref="D106:M106" si="20">C106-$K34</f>
        <v>100</v>
      </c>
      <c r="E106" s="545">
        <f t="shared" si="20"/>
        <v>100</v>
      </c>
      <c r="F106" s="545">
        <f t="shared" si="20"/>
        <v>100</v>
      </c>
      <c r="G106" s="545">
        <f t="shared" si="20"/>
        <v>100</v>
      </c>
      <c r="H106" s="545">
        <f t="shared" si="20"/>
        <v>100</v>
      </c>
      <c r="I106" s="545">
        <f t="shared" si="20"/>
        <v>100</v>
      </c>
      <c r="J106" s="545">
        <f t="shared" si="20"/>
        <v>100</v>
      </c>
      <c r="K106" s="545">
        <f t="shared" si="20"/>
        <v>100</v>
      </c>
      <c r="L106" s="545">
        <f t="shared" si="20"/>
        <v>100</v>
      </c>
      <c r="M106" s="546">
        <f t="shared" si="20"/>
        <v>100</v>
      </c>
      <c r="N106" s="1155"/>
      <c r="O106" s="1155"/>
      <c r="P106" s="2633"/>
      <c r="Q106" s="505"/>
    </row>
    <row r="107" spans="1:17" ht="15" thickTop="1">
      <c r="A107" s="600"/>
      <c r="B107" s="539" t="s">
        <v>2613</v>
      </c>
      <c r="C107" s="555"/>
      <c r="D107" s="555"/>
      <c r="E107" s="555"/>
      <c r="F107" s="584"/>
      <c r="G107" s="584"/>
      <c r="H107" s="584"/>
      <c r="I107" s="584"/>
      <c r="J107" s="584"/>
      <c r="K107" s="585"/>
      <c r="L107" s="586"/>
      <c r="M107" s="587"/>
      <c r="N107" s="1154"/>
      <c r="O107" s="1154"/>
      <c r="P107" s="2633"/>
      <c r="Q107" s="505"/>
    </row>
    <row r="108" spans="1:17" ht="15.75" thickBot="1">
      <c r="A108" s="535"/>
      <c r="B108" s="544"/>
      <c r="C108" s="545">
        <v>100</v>
      </c>
      <c r="D108" s="545">
        <f t="shared" ref="D108:M108" si="21">C108-$K35</f>
        <v>100</v>
      </c>
      <c r="E108" s="545">
        <f t="shared" si="21"/>
        <v>100</v>
      </c>
      <c r="F108" s="545">
        <f t="shared" si="21"/>
        <v>100</v>
      </c>
      <c r="G108" s="545">
        <f t="shared" si="21"/>
        <v>100</v>
      </c>
      <c r="H108" s="545">
        <f t="shared" si="21"/>
        <v>100</v>
      </c>
      <c r="I108" s="545">
        <f t="shared" si="21"/>
        <v>100</v>
      </c>
      <c r="J108" s="545">
        <f t="shared" si="21"/>
        <v>100</v>
      </c>
      <c r="K108" s="545">
        <f t="shared" si="21"/>
        <v>100</v>
      </c>
      <c r="L108" s="545">
        <f t="shared" si="21"/>
        <v>100</v>
      </c>
      <c r="M108" s="546">
        <f t="shared" si="21"/>
        <v>100</v>
      </c>
      <c r="N108" s="1155"/>
      <c r="O108" s="1155"/>
      <c r="P108" s="2633"/>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4"/>
      <c r="O109" s="1154"/>
      <c r="P109" s="2633"/>
      <c r="Q109" s="505"/>
    </row>
    <row r="110" spans="1:17">
      <c r="A110" s="600"/>
      <c r="B110" s="547"/>
      <c r="C110" s="604">
        <v>0.5</v>
      </c>
      <c r="D110" s="604">
        <v>0.6</v>
      </c>
      <c r="E110" s="604">
        <v>0.7</v>
      </c>
      <c r="F110" s="604">
        <v>0.8</v>
      </c>
      <c r="G110" s="604">
        <v>0.9</v>
      </c>
      <c r="H110" s="604">
        <v>1.0001</v>
      </c>
      <c r="I110" s="624"/>
      <c r="J110" s="624"/>
      <c r="K110" s="625"/>
      <c r="L110" s="626"/>
      <c r="M110" s="627"/>
      <c r="N110" s="1154"/>
      <c r="O110" s="1154"/>
      <c r="P110" s="2633"/>
      <c r="Q110" s="505"/>
    </row>
    <row r="111" spans="1:17" ht="15.75" thickBot="1">
      <c r="A111" s="535"/>
      <c r="B111" s="544"/>
      <c r="C111" s="583">
        <v>100</v>
      </c>
      <c r="D111" s="545">
        <f>C111+$K36</f>
        <v>100</v>
      </c>
      <c r="E111" s="545">
        <f t="shared" ref="E111:M111" si="22">D111+$K36</f>
        <v>100</v>
      </c>
      <c r="F111" s="545">
        <f t="shared" si="22"/>
        <v>100</v>
      </c>
      <c r="G111" s="545">
        <f t="shared" si="22"/>
        <v>100</v>
      </c>
      <c r="H111" s="545">
        <f t="shared" si="22"/>
        <v>100</v>
      </c>
      <c r="I111" s="545">
        <f t="shared" si="22"/>
        <v>100</v>
      </c>
      <c r="J111" s="545">
        <f t="shared" si="22"/>
        <v>100</v>
      </c>
      <c r="K111" s="545">
        <f t="shared" si="22"/>
        <v>100</v>
      </c>
      <c r="L111" s="545">
        <f t="shared" si="22"/>
        <v>100</v>
      </c>
      <c r="M111" s="545">
        <f t="shared" si="22"/>
        <v>100</v>
      </c>
      <c r="N111" s="1155"/>
      <c r="O111" s="1155"/>
      <c r="P111" s="2633"/>
      <c r="Q111" s="505"/>
    </row>
    <row r="112" spans="1:17" s="472" customFormat="1" ht="15" thickTop="1">
      <c r="A112" s="594"/>
      <c r="B112" s="539" t="s">
        <v>2615</v>
      </c>
      <c r="C112" s="555"/>
      <c r="D112" s="555"/>
      <c r="E112" s="555"/>
      <c r="F112" s="555"/>
      <c r="G112" s="555"/>
      <c r="H112" s="584"/>
      <c r="I112" s="584"/>
      <c r="J112" s="584"/>
      <c r="K112" s="585"/>
      <c r="L112" s="586"/>
      <c r="M112" s="587"/>
      <c r="N112" s="1156"/>
      <c r="O112" s="1156"/>
      <c r="P112" s="2634"/>
      <c r="Q112" s="560"/>
    </row>
    <row r="113" spans="1:17" s="472" customFormat="1" ht="15.75" thickBot="1">
      <c r="A113" s="554"/>
      <c r="B113" s="544"/>
      <c r="C113" s="545">
        <v>100</v>
      </c>
      <c r="D113" s="545">
        <f>C113-$K37</f>
        <v>100</v>
      </c>
      <c r="E113" s="545">
        <f t="shared" ref="E113:M113" si="23">D113-$K37</f>
        <v>100</v>
      </c>
      <c r="F113" s="545">
        <f t="shared" si="23"/>
        <v>100</v>
      </c>
      <c r="G113" s="545">
        <f t="shared" si="23"/>
        <v>100</v>
      </c>
      <c r="H113" s="545">
        <f t="shared" si="23"/>
        <v>100</v>
      </c>
      <c r="I113" s="545">
        <f t="shared" si="23"/>
        <v>100</v>
      </c>
      <c r="J113" s="545">
        <f t="shared" si="23"/>
        <v>100</v>
      </c>
      <c r="K113" s="545">
        <f t="shared" si="23"/>
        <v>100</v>
      </c>
      <c r="L113" s="545">
        <f t="shared" si="23"/>
        <v>100</v>
      </c>
      <c r="M113" s="545">
        <f t="shared" si="23"/>
        <v>100</v>
      </c>
      <c r="N113" s="1156"/>
      <c r="O113" s="1156"/>
      <c r="P113" s="2634"/>
      <c r="Q113" s="560"/>
    </row>
    <row r="114" spans="1:17" ht="15" thickTop="1">
      <c r="A114" s="600"/>
      <c r="B114" s="539" t="s">
        <v>2679</v>
      </c>
      <c r="C114" s="555"/>
      <c r="D114" s="555"/>
      <c r="E114" s="584"/>
      <c r="F114" s="584"/>
      <c r="G114" s="584"/>
      <c r="H114" s="584"/>
      <c r="I114" s="584"/>
      <c r="J114" s="584"/>
      <c r="K114" s="585"/>
      <c r="L114" s="586"/>
      <c r="M114" s="587"/>
      <c r="N114" s="1154"/>
      <c r="O114" s="1154"/>
      <c r="P114" s="2633"/>
      <c r="Q114" s="505"/>
    </row>
    <row r="115" spans="1:17" ht="15.75" thickBot="1">
      <c r="A115" s="535"/>
      <c r="B115" s="544"/>
      <c r="C115" s="545">
        <v>100</v>
      </c>
      <c r="D115" s="545">
        <f t="shared" ref="D115:M115" si="24">C115-$K38</f>
        <v>100</v>
      </c>
      <c r="E115" s="545">
        <f t="shared" si="24"/>
        <v>100</v>
      </c>
      <c r="F115" s="545">
        <f t="shared" si="24"/>
        <v>100</v>
      </c>
      <c r="G115" s="545">
        <f t="shared" si="24"/>
        <v>100</v>
      </c>
      <c r="H115" s="545">
        <f t="shared" si="24"/>
        <v>100</v>
      </c>
      <c r="I115" s="545">
        <f t="shared" si="24"/>
        <v>100</v>
      </c>
      <c r="J115" s="545">
        <f t="shared" si="24"/>
        <v>100</v>
      </c>
      <c r="K115" s="545">
        <f t="shared" si="24"/>
        <v>100</v>
      </c>
      <c r="L115" s="545">
        <f t="shared" si="24"/>
        <v>100</v>
      </c>
      <c r="M115" s="546">
        <f t="shared" si="24"/>
        <v>100</v>
      </c>
      <c r="N115" s="1155"/>
      <c r="O115" s="1155"/>
      <c r="P115" s="2633"/>
      <c r="Q115" s="505"/>
    </row>
    <row r="116" spans="1:17" ht="15" thickTop="1">
      <c r="A116" s="600"/>
      <c r="B116" s="539" t="s">
        <v>2680</v>
      </c>
      <c r="C116" s="555"/>
      <c r="D116" s="555"/>
      <c r="E116" s="555"/>
      <c r="F116" s="555"/>
      <c r="G116" s="555"/>
      <c r="H116" s="584"/>
      <c r="I116" s="584"/>
      <c r="J116" s="584"/>
      <c r="K116" s="585"/>
      <c r="L116" s="586"/>
      <c r="M116" s="587"/>
      <c r="N116" s="1154"/>
      <c r="O116" s="1154"/>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5"/>
      <c r="O117" s="1155"/>
      <c r="P117" s="2633"/>
      <c r="Q117" s="505"/>
    </row>
    <row r="118" spans="1:17" ht="15" thickTop="1">
      <c r="A118" s="600"/>
      <c r="B118" s="539" t="s">
        <v>2681</v>
      </c>
      <c r="C118" s="628"/>
      <c r="D118" s="628"/>
      <c r="E118" s="628"/>
      <c r="F118" s="628"/>
      <c r="G118" s="628"/>
      <c r="H118" s="556"/>
      <c r="I118" s="556"/>
      <c r="J118" s="556"/>
      <c r="K118" s="556"/>
      <c r="L118" s="557"/>
      <c r="M118" s="558"/>
      <c r="N118" s="1154"/>
      <c r="O118" s="1154"/>
      <c r="P118" s="2633"/>
      <c r="Q118" s="505"/>
    </row>
    <row r="119" spans="1:17" ht="15.75" thickBot="1">
      <c r="A119" s="535"/>
      <c r="B119" s="544"/>
      <c r="C119" s="561"/>
      <c r="D119" s="537"/>
      <c r="E119" s="537"/>
      <c r="F119" s="537"/>
      <c r="G119" s="537"/>
      <c r="H119" s="537"/>
      <c r="I119" s="537"/>
      <c r="J119" s="537"/>
      <c r="K119" s="537"/>
      <c r="L119" s="537"/>
      <c r="M119" s="538"/>
      <c r="N119" s="1155"/>
      <c r="O119" s="1155"/>
      <c r="P119" s="2633"/>
      <c r="Q119" s="505"/>
    </row>
    <row r="120" spans="1:17" s="472" customFormat="1" ht="15" thickTop="1">
      <c r="A120" s="594"/>
      <c r="B120" s="539" t="s">
        <v>2682</v>
      </c>
      <c r="C120" s="584"/>
      <c r="D120" s="584"/>
      <c r="E120" s="584"/>
      <c r="F120" s="584"/>
      <c r="G120" s="556"/>
      <c r="H120" s="556"/>
      <c r="I120" s="556"/>
      <c r="J120" s="556"/>
      <c r="K120" s="556"/>
      <c r="L120" s="557"/>
      <c r="M120" s="558"/>
      <c r="N120" s="1156"/>
      <c r="O120" s="1156"/>
      <c r="P120" s="2634"/>
      <c r="Q120" s="560"/>
    </row>
    <row r="121" spans="1:17" s="472" customFormat="1" ht="15.75" thickBot="1">
      <c r="A121" s="554"/>
      <c r="B121" s="536"/>
      <c r="C121" s="583">
        <v>100</v>
      </c>
      <c r="D121" s="545">
        <f>C121-$K41</f>
        <v>100</v>
      </c>
      <c r="E121" s="545">
        <f t="shared" ref="E121:M121" si="25">D121-$K41</f>
        <v>100</v>
      </c>
      <c r="F121" s="545">
        <f t="shared" si="25"/>
        <v>100</v>
      </c>
      <c r="G121" s="545">
        <f t="shared" si="25"/>
        <v>100</v>
      </c>
      <c r="H121" s="545">
        <f t="shared" si="25"/>
        <v>100</v>
      </c>
      <c r="I121" s="545">
        <f t="shared" si="25"/>
        <v>100</v>
      </c>
      <c r="J121" s="545">
        <f t="shared" si="25"/>
        <v>100</v>
      </c>
      <c r="K121" s="545">
        <f t="shared" si="25"/>
        <v>100</v>
      </c>
      <c r="L121" s="545">
        <f t="shared" si="25"/>
        <v>100</v>
      </c>
      <c r="M121" s="546">
        <f t="shared" si="25"/>
        <v>100</v>
      </c>
      <c r="N121" s="1156"/>
      <c r="O121" s="1156"/>
      <c r="P121" s="2634"/>
      <c r="Q121" s="560"/>
    </row>
    <row r="122" spans="1:17" ht="15" thickTop="1">
      <c r="A122" s="600"/>
      <c r="B122" s="539" t="s">
        <v>2617</v>
      </c>
      <c r="C122" s="555"/>
      <c r="D122" s="555"/>
      <c r="E122" s="555"/>
      <c r="F122" s="584"/>
      <c r="G122" s="584"/>
      <c r="H122" s="584"/>
      <c r="I122" s="584"/>
      <c r="J122" s="584"/>
      <c r="K122" s="585"/>
      <c r="L122" s="586"/>
      <c r="M122" s="587"/>
      <c r="N122" s="1154"/>
      <c r="O122" s="1154"/>
      <c r="P122" s="2633"/>
      <c r="Q122" s="505"/>
    </row>
    <row r="123" spans="1:17" ht="15.75" thickBot="1">
      <c r="A123" s="535"/>
      <c r="B123" s="544"/>
      <c r="C123" s="545">
        <v>100</v>
      </c>
      <c r="D123" s="545">
        <f t="shared" ref="D123:M123" si="26">C123-$K42</f>
        <v>100</v>
      </c>
      <c r="E123" s="545">
        <f t="shared" si="26"/>
        <v>100</v>
      </c>
      <c r="F123" s="545">
        <f t="shared" si="26"/>
        <v>100</v>
      </c>
      <c r="G123" s="545">
        <f t="shared" si="26"/>
        <v>100</v>
      </c>
      <c r="H123" s="545">
        <f t="shared" si="26"/>
        <v>100</v>
      </c>
      <c r="I123" s="545">
        <f t="shared" si="26"/>
        <v>100</v>
      </c>
      <c r="J123" s="545">
        <f t="shared" si="26"/>
        <v>100</v>
      </c>
      <c r="K123" s="545">
        <f t="shared" si="26"/>
        <v>100</v>
      </c>
      <c r="L123" s="545">
        <f t="shared" si="26"/>
        <v>100</v>
      </c>
      <c r="M123" s="546">
        <f t="shared" si="26"/>
        <v>100</v>
      </c>
      <c r="N123" s="1155"/>
      <c r="O123" s="1155"/>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4"/>
      <c r="O124" s="1154"/>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5"/>
      <c r="O125" s="1155"/>
      <c r="P125" s="2633"/>
      <c r="Q125" s="505"/>
    </row>
    <row r="126" spans="1:17" s="472" customFormat="1" ht="15" thickTop="1">
      <c r="A126" s="594"/>
      <c r="B126" s="539">
        <f>B44</f>
        <v>111</v>
      </c>
      <c r="C126" s="555"/>
      <c r="D126" s="555"/>
      <c r="E126" s="555"/>
      <c r="F126" s="555"/>
      <c r="G126" s="555"/>
      <c r="H126" s="556"/>
      <c r="I126" s="556"/>
      <c r="J126" s="556"/>
      <c r="K126" s="556"/>
      <c r="L126" s="557"/>
      <c r="M126" s="558"/>
      <c r="N126" s="1156"/>
      <c r="O126" s="1156"/>
      <c r="P126" s="2634"/>
      <c r="Q126" s="560"/>
    </row>
    <row r="127" spans="1:17" s="472" customFormat="1" ht="15.75" thickBot="1">
      <c r="A127" s="554"/>
      <c r="B127" s="544"/>
      <c r="C127" s="561"/>
      <c r="D127" s="537"/>
      <c r="E127" s="537"/>
      <c r="F127" s="537"/>
      <c r="G127" s="561"/>
      <c r="H127" s="563"/>
      <c r="I127" s="563"/>
      <c r="J127" s="563"/>
      <c r="K127" s="563"/>
      <c r="L127" s="563"/>
      <c r="M127" s="564"/>
      <c r="N127" s="1156"/>
      <c r="O127" s="1156"/>
      <c r="P127" s="2634"/>
      <c r="Q127" s="560"/>
    </row>
    <row r="128" spans="1:17" ht="15" thickTop="1">
      <c r="A128" s="600"/>
      <c r="B128" s="539">
        <f>B45</f>
        <v>111</v>
      </c>
      <c r="C128" s="555"/>
      <c r="D128" s="555"/>
      <c r="E128" s="555"/>
      <c r="F128" s="555"/>
      <c r="G128" s="584"/>
      <c r="H128" s="584"/>
      <c r="I128" s="584"/>
      <c r="J128" s="584"/>
      <c r="K128" s="585"/>
      <c r="L128" s="586"/>
      <c r="M128" s="587"/>
      <c r="N128" s="1154"/>
      <c r="O128" s="1154"/>
      <c r="P128" s="2633"/>
      <c r="Q128" s="505"/>
    </row>
    <row r="129" spans="1:17" ht="15.75" thickBot="1">
      <c r="A129" s="535"/>
      <c r="B129" s="544"/>
      <c r="C129" s="561"/>
      <c r="D129" s="537"/>
      <c r="E129" s="537"/>
      <c r="F129" s="537"/>
      <c r="G129" s="537"/>
      <c r="H129" s="537"/>
      <c r="I129" s="537"/>
      <c r="J129" s="537"/>
      <c r="K129" s="537"/>
      <c r="L129" s="537"/>
      <c r="M129" s="538"/>
      <c r="N129" s="1155"/>
      <c r="O129" s="1155"/>
      <c r="P129" s="2633"/>
      <c r="Q129" s="505"/>
    </row>
    <row r="130" spans="1:17" ht="15" thickTop="1">
      <c r="A130" s="600"/>
      <c r="B130" s="547">
        <f>B46</f>
        <v>111</v>
      </c>
      <c r="C130" s="555"/>
      <c r="D130" s="555"/>
      <c r="E130" s="555"/>
      <c r="F130" s="555"/>
      <c r="G130" s="588"/>
      <c r="H130" s="588"/>
      <c r="I130" s="588"/>
      <c r="J130" s="588"/>
      <c r="K130" s="524"/>
      <c r="L130" s="525"/>
      <c r="M130" s="591"/>
      <c r="N130" s="1154"/>
      <c r="O130" s="1154"/>
      <c r="P130" s="2633"/>
      <c r="Q130" s="505"/>
    </row>
    <row r="131" spans="1:17" ht="15.75" thickBot="1">
      <c r="A131" s="2639"/>
      <c r="B131" s="570"/>
      <c r="C131" s="571"/>
      <c r="D131" s="571"/>
      <c r="E131" s="571"/>
      <c r="F131" s="571"/>
      <c r="G131" s="592"/>
      <c r="H131" s="592"/>
      <c r="I131" s="592"/>
      <c r="J131" s="592"/>
      <c r="K131" s="592"/>
      <c r="L131" s="592"/>
      <c r="M131" s="593"/>
      <c r="N131" s="1155"/>
      <c r="O131" s="1155"/>
      <c r="P131" s="2633"/>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北京世纪润丰源资产管理有限公司：</v>
      </c>
    </row>
    <row r="4" spans="1:1" ht="36">
      <c r="A4" s="1951" t="str">
        <f>"受贵公司委托，我公司对"&amp;项目基本情况!S1&amp;"进行了预评估。"</f>
        <v>受贵公司委托，我公司对北京市西城区真武庙路二条10号楼1层7单元102及103共计两套商业服务用房房地产抵押价值进行了预评估。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真武庙路二条10号楼1层7单元102及103共计两套商业服务用房房地产，为北京世纪润丰源资产管理有限公司所有。根据，估价对象（分摊）出让国有建设用地使用权面积为0平方米。根据《房屋所有权证》[X京房权证西字第140276号]等20本，估价对象建筑面积为88.84平方米。</v>
      </c>
    </row>
    <row r="8" spans="1:1" ht="57.75">
      <c r="A8" s="1954" t="s">
        <v>1616</v>
      </c>
    </row>
    <row r="9" spans="1:1" ht="18.75">
      <c r="A9" s="1953" t="s">
        <v>1617</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真武庙路二条10号楼1层7单元102及103共计两套商业服务用房房地产,属北京世纪润丰源资产管理有限公司开发建设的居住项目，该项目尚在开发建设中。根据，估价对象（分摊）出让国有建设用地使用权面积为0平方米。根据《房屋所有权证》[X京房权证西字第140276号]等20本，估价对象规划建筑面积为88.84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为估价委托人在向中国民生银行股份有限公司北京分行办理贷款手续过程中，确定房地产抵押贷款额度提供参考依据而评估房地产抵押价值。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2017年11月1日（评估专业人员实地查勘之日）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住宅，土地取得方式为出让，出让国有建设用地使用权剩余土地使用年限为住宅56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672" t="s">
        <v>2683</v>
      </c>
      <c r="C1" s="1623" t="s">
        <v>2528</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2325</v>
      </c>
      <c r="B2" s="1420" t="e">
        <f ca="1">IF(C2="——",ROUND(C50*D3/10000,0),ROUND(C50*D3/10000,0)-D2)</f>
        <v>#DIV/0!</v>
      </c>
      <c r="C2" s="2589"/>
      <c r="D2" s="1367" t="e">
        <f ca="1">SUMIF(INDIRECT("'"&amp;F2&amp;"'"&amp;"!A:A"),"承租人权益价值",INDIRECT("'"&amp;F2&amp;"'"&amp;"!c:c"))</f>
        <v>#REF!</v>
      </c>
      <c r="E2" s="2590" t="s">
        <v>2326</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2327</v>
      </c>
      <c r="B3" s="610" t="e">
        <f ca="1">IF(C2="——",C50,ROUND(B2*10000/D3,0))</f>
        <v>#DIV/0!</v>
      </c>
      <c r="C3" s="401" t="s">
        <v>2641</v>
      </c>
      <c r="D3" s="400">
        <f>IF(D1="",'数据-汇总表'!E3,SUMIF('数据-汇总表'!$C19:$C33,D1,'数据-汇总表'!$E19:$E33))</f>
        <v>88.84</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2" t="s">
        <v>2642</v>
      </c>
      <c r="B4" s="403"/>
      <c r="C4" s="3165" t="s">
        <v>2643</v>
      </c>
      <c r="D4" s="3166"/>
      <c r="E4" s="3167" t="s">
        <v>2644</v>
      </c>
      <c r="F4" s="3168"/>
      <c r="G4" s="3165" t="s">
        <v>2645</v>
      </c>
      <c r="H4" s="3166"/>
      <c r="I4" s="3165" t="s">
        <v>2646</v>
      </c>
      <c r="J4" s="3166"/>
      <c r="K4" s="611" t="s">
        <v>2647</v>
      </c>
      <c r="L4" s="1132"/>
      <c r="M4" s="1133"/>
      <c r="N4" s="1133"/>
      <c r="O4" s="1133"/>
      <c r="P4" s="3234" t="s">
        <v>2648</v>
      </c>
      <c r="Q4" s="3235"/>
      <c r="R4" s="3229" t="s">
        <v>2644</v>
      </c>
      <c r="S4" s="3230"/>
      <c r="T4" s="3229" t="s">
        <v>2645</v>
      </c>
      <c r="U4" s="3230"/>
      <c r="V4" s="3238" t="s">
        <v>2646</v>
      </c>
      <c r="W4" s="3238"/>
      <c r="X4" s="2673"/>
      <c r="Y4" s="3229" t="s">
        <v>2648</v>
      </c>
      <c r="Z4" s="3230"/>
      <c r="AA4" s="3228" t="s">
        <v>2644</v>
      </c>
      <c r="AB4" s="3228" t="s">
        <v>2645</v>
      </c>
      <c r="AC4" s="3231" t="s">
        <v>2646</v>
      </c>
    </row>
    <row r="5" spans="1:29" ht="15">
      <c r="A5" s="405"/>
      <c r="B5" s="406"/>
      <c r="C5" s="3157" t="s">
        <v>2540</v>
      </c>
      <c r="D5" s="3158"/>
      <c r="E5" s="3227" t="s">
        <v>2541</v>
      </c>
      <c r="F5" s="3156"/>
      <c r="G5" s="3157" t="s">
        <v>2542</v>
      </c>
      <c r="H5" s="3158"/>
      <c r="I5" s="3157" t="s">
        <v>2543</v>
      </c>
      <c r="J5" s="3158"/>
      <c r="K5" s="611"/>
      <c r="L5" s="1132"/>
      <c r="M5" s="1133"/>
      <c r="N5" s="1133"/>
      <c r="O5" s="1133"/>
      <c r="P5" s="3236"/>
      <c r="Q5" s="3172"/>
      <c r="R5" s="3153"/>
      <c r="S5" s="3154"/>
      <c r="T5" s="3153"/>
      <c r="U5" s="3154"/>
      <c r="V5" s="3177"/>
      <c r="W5" s="3177"/>
      <c r="X5" s="1816"/>
      <c r="Y5" s="3153"/>
      <c r="Z5" s="3154"/>
      <c r="AA5" s="3147"/>
      <c r="AB5" s="3147"/>
      <c r="AC5" s="3232"/>
    </row>
    <row r="6" spans="1:29" ht="15.75" thickBot="1">
      <c r="A6" s="407"/>
      <c r="B6" s="408"/>
      <c r="C6" s="3159" t="s">
        <v>2544</v>
      </c>
      <c r="D6" s="3160"/>
      <c r="E6" s="3162" t="s">
        <v>2544</v>
      </c>
      <c r="F6" s="3163"/>
      <c r="G6" s="3159" t="s">
        <v>2544</v>
      </c>
      <c r="H6" s="3160"/>
      <c r="I6" s="3159" t="s">
        <v>2544</v>
      </c>
      <c r="J6" s="3160"/>
      <c r="K6" s="611" t="s">
        <v>2545</v>
      </c>
      <c r="L6" s="1132"/>
      <c r="M6" s="1133"/>
      <c r="N6" s="1133"/>
      <c r="O6" s="1133"/>
      <c r="P6" s="3237"/>
      <c r="Q6" s="3174"/>
      <c r="R6" s="3153"/>
      <c r="S6" s="3154"/>
      <c r="T6" s="3175"/>
      <c r="U6" s="3176"/>
      <c r="V6" s="3177"/>
      <c r="W6" s="3177"/>
      <c r="X6" s="1816"/>
      <c r="Y6" s="3175"/>
      <c r="Z6" s="3176"/>
      <c r="AA6" s="3148"/>
      <c r="AB6" s="3148"/>
      <c r="AC6" s="3233"/>
    </row>
    <row r="7" spans="1:29" s="117" customFormat="1" ht="15.75" thickBot="1">
      <c r="A7" s="409" t="s">
        <v>2546</v>
      </c>
      <c r="B7" s="410"/>
      <c r="C7" s="411">
        <f>'数据-取费表'!B2</f>
        <v>43040</v>
      </c>
      <c r="D7" s="412">
        <v>100</v>
      </c>
      <c r="E7" s="413"/>
      <c r="F7" s="414">
        <f>SUMIF(59:59,YEAR(E7)&amp;"-"&amp;MONTH(E7),60:60)</f>
        <v>0</v>
      </c>
      <c r="G7" s="413"/>
      <c r="H7" s="412">
        <f>SUMIF(59:59,YEAR(G7)&amp;"-"&amp;MONTH(G7),60:60)</f>
        <v>0</v>
      </c>
      <c r="I7" s="413"/>
      <c r="J7" s="412">
        <f>SUMIF(59:59,YEAR(I7)&amp;"-"&amp;MONTH(I7),60:60)</f>
        <v>0</v>
      </c>
      <c r="K7" s="612"/>
      <c r="L7" s="1134"/>
      <c r="M7" s="1135"/>
      <c r="N7" s="1135"/>
      <c r="O7" s="1135"/>
      <c r="P7" s="3239" t="s">
        <v>2547</v>
      </c>
      <c r="Q7" s="3178"/>
      <c r="R7" s="769" t="s">
        <v>17</v>
      </c>
      <c r="S7" s="770">
        <f t="shared" ref="S7:S15" si="0">F7</f>
        <v>0</v>
      </c>
      <c r="T7" s="769" t="s">
        <v>17</v>
      </c>
      <c r="U7" s="770">
        <f t="shared" ref="U7:U15" si="1">H7</f>
        <v>0</v>
      </c>
      <c r="V7" s="769" t="s">
        <v>17</v>
      </c>
      <c r="W7" s="770">
        <f t="shared" ref="W7:W15" si="2">J7</f>
        <v>0</v>
      </c>
      <c r="X7" s="771"/>
      <c r="Y7" s="3149" t="s">
        <v>2547</v>
      </c>
      <c r="Z7" s="3150"/>
      <c r="AA7" s="772" t="e">
        <f>D7/F7</f>
        <v>#DIV/0!</v>
      </c>
      <c r="AB7" s="772" t="e">
        <f>D7/H7</f>
        <v>#DIV/0!</v>
      </c>
      <c r="AC7" s="2674" t="e">
        <f>D7/J7</f>
        <v>#DIV/0!</v>
      </c>
    </row>
    <row r="8" spans="1:29" s="117" customFormat="1" ht="15.75" thickBot="1">
      <c r="A8" s="409" t="s">
        <v>2548</v>
      </c>
      <c r="B8" s="410"/>
      <c r="C8" s="415" t="s">
        <v>2649</v>
      </c>
      <c r="D8" s="412">
        <v>100</v>
      </c>
      <c r="E8" s="415"/>
      <c r="F8" s="414">
        <f>SUMIF(62:62,E8,63:63)-SUMIF(62:62,C8,63:63)+100</f>
        <v>0</v>
      </c>
      <c r="G8" s="415"/>
      <c r="H8" s="412">
        <f>SUMIF(62:62,G8,63:63)-SUMIF(62:62,C8,63:63)+100</f>
        <v>0</v>
      </c>
      <c r="I8" s="415"/>
      <c r="J8" s="412">
        <f>SUMIF(62:62,I8,63:63)-SUMIF(62:62,C8,63:63)+100</f>
        <v>0</v>
      </c>
      <c r="K8" s="612"/>
      <c r="L8" s="1134"/>
      <c r="M8" s="1135"/>
      <c r="N8" s="1135"/>
      <c r="O8" s="1135"/>
      <c r="P8" s="3239" t="s">
        <v>2550</v>
      </c>
      <c r="Q8" s="3150"/>
      <c r="R8" s="769" t="s">
        <v>17</v>
      </c>
      <c r="S8" s="770">
        <f t="shared" si="0"/>
        <v>0</v>
      </c>
      <c r="T8" s="769" t="s">
        <v>17</v>
      </c>
      <c r="U8" s="770">
        <f t="shared" si="1"/>
        <v>0</v>
      </c>
      <c r="V8" s="769" t="s">
        <v>17</v>
      </c>
      <c r="W8" s="770">
        <f t="shared" si="2"/>
        <v>0</v>
      </c>
      <c r="X8" s="771"/>
      <c r="Y8" s="3149" t="s">
        <v>2550</v>
      </c>
      <c r="Z8" s="3150"/>
      <c r="AA8" s="772" t="e">
        <f t="shared" ref="AA8:AA47" si="3">D8/F8</f>
        <v>#DIV/0!</v>
      </c>
      <c r="AB8" s="772" t="e">
        <f t="shared" ref="AB8:AB47" si="4">D8/H8</f>
        <v>#DIV/0!</v>
      </c>
      <c r="AC8" s="2674" t="e">
        <f t="shared" ref="AC8:AC47" si="5">D8/J8</f>
        <v>#DIV/0!</v>
      </c>
    </row>
    <row r="9" spans="1:29" s="117" customFormat="1">
      <c r="A9" s="416" t="s">
        <v>2551</v>
      </c>
      <c r="B9" s="71" t="s">
        <v>2552</v>
      </c>
      <c r="C9" s="417"/>
      <c r="D9" s="135">
        <v>100</v>
      </c>
      <c r="E9" s="420"/>
      <c r="F9" s="135">
        <f>SUMIF(64:64,E9,65:65)-SUMIF(64:64,C9,65:65)+100</f>
        <v>100</v>
      </c>
      <c r="G9" s="418"/>
      <c r="H9" s="135">
        <f>SUMIF(64:64,G9,65:65)-SUMIF(64:64,C9,65:65)+100</f>
        <v>100</v>
      </c>
      <c r="I9" s="418"/>
      <c r="J9" s="135">
        <f>SUMIF(64:64,I9,65:65)-SUMIF(64:64,C9,65:65)+100</f>
        <v>100</v>
      </c>
      <c r="K9" s="612"/>
      <c r="L9" s="1134"/>
      <c r="M9" s="1135"/>
      <c r="N9" s="1135"/>
      <c r="O9" s="1135"/>
      <c r="P9" s="3164" t="s">
        <v>2553</v>
      </c>
      <c r="Q9" s="1798" t="str">
        <f t="shared" ref="Q9:Q15" si="6">B9</f>
        <v>用途</v>
      </c>
      <c r="R9" s="769" t="s">
        <v>17</v>
      </c>
      <c r="S9" s="770">
        <f t="shared" si="0"/>
        <v>100</v>
      </c>
      <c r="T9" s="769" t="s">
        <v>17</v>
      </c>
      <c r="U9" s="770">
        <f t="shared" si="1"/>
        <v>100</v>
      </c>
      <c r="V9" s="769" t="s">
        <v>17</v>
      </c>
      <c r="W9" s="770">
        <f t="shared" si="2"/>
        <v>100</v>
      </c>
      <c r="X9" s="771"/>
      <c r="Y9" s="3026" t="s">
        <v>2554</v>
      </c>
      <c r="Z9" s="55" t="str">
        <f t="shared" ref="Z9:Z15" si="7">Q9</f>
        <v>用途</v>
      </c>
      <c r="AA9" s="772">
        <f t="shared" si="3"/>
        <v>1</v>
      </c>
      <c r="AB9" s="772">
        <f t="shared" si="4"/>
        <v>1</v>
      </c>
      <c r="AC9" s="2674">
        <f t="shared" si="5"/>
        <v>1</v>
      </c>
    </row>
    <row r="10" spans="1:29" s="428" customFormat="1" ht="27">
      <c r="A10" s="422"/>
      <c r="B10" s="423" t="s">
        <v>2555</v>
      </c>
      <c r="C10" s="424"/>
      <c r="D10" s="136">
        <v>100</v>
      </c>
      <c r="E10" s="424"/>
      <c r="F10" s="136">
        <f>SUMIF(66:66,E10,67:67)-SUMIF(66:66,C10,67:67)+100</f>
        <v>100</v>
      </c>
      <c r="G10" s="425"/>
      <c r="H10" s="136">
        <f>SUMIF(66:66,G10,67:67)-SUMIF(66:66,C10,67:67)+100</f>
        <v>100</v>
      </c>
      <c r="I10" s="424"/>
      <c r="J10" s="136">
        <f>SUMIF(66:66,I10,67:67)-SUMIF(66:66,C10,67:67)+100</f>
        <v>100</v>
      </c>
      <c r="K10" s="613"/>
      <c r="L10" s="1137"/>
      <c r="M10" s="1138"/>
      <c r="N10" s="1138"/>
      <c r="O10" s="1138"/>
      <c r="P10" s="3164"/>
      <c r="Q10" s="1798"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2674">
        <f t="shared" si="5"/>
        <v>1</v>
      </c>
    </row>
    <row r="11" spans="1:29" ht="15">
      <c r="A11" s="429"/>
      <c r="B11" s="423" t="s">
        <v>2556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0"/>
      <c r="M11" s="1133"/>
      <c r="N11" s="1133"/>
      <c r="O11" s="1133"/>
      <c r="P11" s="3164"/>
      <c r="Q11" s="1798"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4"/>
      <c r="M12" s="1135"/>
      <c r="N12" s="1135"/>
      <c r="O12" s="1135"/>
      <c r="P12" s="3164"/>
      <c r="Q12" s="1798">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2"/>
      <c r="M13" s="1133"/>
      <c r="N13" s="1133"/>
      <c r="O13" s="1133"/>
      <c r="P13" s="3164"/>
      <c r="Q13" s="1798">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2"/>
      <c r="M14" s="1133"/>
      <c r="N14" s="1133"/>
      <c r="O14" s="1133"/>
      <c r="P14" s="3164"/>
      <c r="Q14" s="1798">
        <f t="shared" si="6"/>
        <v>111</v>
      </c>
      <c r="R14" s="769" t="s">
        <v>17</v>
      </c>
      <c r="S14" s="770">
        <f t="shared" si="0"/>
        <v>100</v>
      </c>
      <c r="T14" s="769" t="s">
        <v>17</v>
      </c>
      <c r="U14" s="770">
        <f t="shared" si="1"/>
        <v>100</v>
      </c>
      <c r="V14" s="769" t="s">
        <v>17</v>
      </c>
      <c r="W14" s="770">
        <f t="shared" si="2"/>
        <v>100</v>
      </c>
      <c r="X14" s="771"/>
      <c r="Y14" s="3026"/>
      <c r="Z14" s="55">
        <f t="shared" si="7"/>
        <v>111</v>
      </c>
      <c r="AA14" s="772">
        <f t="shared" si="3"/>
        <v>1</v>
      </c>
      <c r="AB14" s="772">
        <f t="shared" si="4"/>
        <v>1</v>
      </c>
      <c r="AC14" s="2674">
        <f t="shared" si="5"/>
        <v>1</v>
      </c>
    </row>
    <row r="15" spans="1:29" ht="71.25">
      <c r="A15" s="441" t="s">
        <v>2557</v>
      </c>
      <c r="B15" s="630" t="s">
        <v>2684</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2"/>
      <c r="M15" s="1133"/>
      <c r="N15" s="1133"/>
      <c r="O15" s="1133"/>
      <c r="P15" s="3191" t="s">
        <v>2558</v>
      </c>
      <c r="Q15" s="1813" t="str">
        <f t="shared" si="6"/>
        <v>办公集聚程度</v>
      </c>
      <c r="R15" s="773" t="s">
        <v>17</v>
      </c>
      <c r="S15" s="774">
        <f t="shared" si="0"/>
        <v>100</v>
      </c>
      <c r="T15" s="773" t="s">
        <v>17</v>
      </c>
      <c r="U15" s="774">
        <f t="shared" si="1"/>
        <v>100</v>
      </c>
      <c r="V15" s="773" t="s">
        <v>17</v>
      </c>
      <c r="W15" s="774">
        <f t="shared" si="2"/>
        <v>100</v>
      </c>
      <c r="X15" s="1816"/>
      <c r="Y15" s="3184" t="s">
        <v>2558</v>
      </c>
      <c r="Z15" s="1817" t="str">
        <f t="shared" si="7"/>
        <v>办公集聚程度</v>
      </c>
      <c r="AA15" s="1814">
        <f t="shared" si="3"/>
        <v>1</v>
      </c>
      <c r="AB15" s="1814">
        <f t="shared" si="4"/>
        <v>1</v>
      </c>
      <c r="AC15" s="2677">
        <f t="shared" si="5"/>
        <v>1</v>
      </c>
    </row>
    <row r="16" spans="1:29" ht="15">
      <c r="A16" s="429"/>
      <c r="B16" s="631"/>
      <c r="C16" s="2614"/>
      <c r="D16" s="449"/>
      <c r="E16" s="448"/>
      <c r="F16" s="449"/>
      <c r="G16" s="2614"/>
      <c r="H16" s="451"/>
      <c r="I16" s="448"/>
      <c r="J16" s="449"/>
      <c r="K16" s="616"/>
      <c r="L16" s="1142"/>
      <c r="M16" s="1133"/>
      <c r="N16" s="1133"/>
      <c r="O16" s="1133"/>
      <c r="P16" s="3192"/>
      <c r="Q16" s="1813"/>
      <c r="R16" s="773"/>
      <c r="S16" s="774"/>
      <c r="T16" s="773"/>
      <c r="U16" s="774"/>
      <c r="V16" s="773"/>
      <c r="W16" s="774"/>
      <c r="X16" s="1816"/>
      <c r="Y16" s="3185"/>
      <c r="Z16" s="1817"/>
      <c r="AA16" s="1814">
        <v>1</v>
      </c>
      <c r="AB16" s="1814">
        <v>1</v>
      </c>
      <c r="AC16" s="2677">
        <v>1</v>
      </c>
    </row>
    <row r="17" spans="1:29" ht="71.25">
      <c r="A17" s="429"/>
      <c r="B17" s="632" t="s">
        <v>2095</v>
      </c>
      <c r="C17" s="2678" t="str">
        <f>估价对象房地状况!C6</f>
        <v>估价对象周边道路通达、公共交通通达、停车便捷，综合评价交通便捷度好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c r="L17" s="1142"/>
      <c r="M17" s="1133"/>
      <c r="N17" s="1133"/>
      <c r="O17" s="1133"/>
      <c r="P17" s="3192"/>
      <c r="Q17" s="1813" t="str">
        <f>B17</f>
        <v>交通便捷度</v>
      </c>
      <c r="R17" s="773" t="s">
        <v>17</v>
      </c>
      <c r="S17" s="774">
        <f>F17</f>
        <v>100</v>
      </c>
      <c r="T17" s="773" t="s">
        <v>17</v>
      </c>
      <c r="U17" s="774">
        <f>H17</f>
        <v>100</v>
      </c>
      <c r="V17" s="773" t="s">
        <v>17</v>
      </c>
      <c r="W17" s="774">
        <f>J17</f>
        <v>100</v>
      </c>
      <c r="X17" s="1816"/>
      <c r="Y17" s="3185"/>
      <c r="Z17" s="1817" t="str">
        <f>Q17</f>
        <v>交通便捷度</v>
      </c>
      <c r="AA17" s="1814">
        <f t="shared" si="3"/>
        <v>1</v>
      </c>
      <c r="AB17" s="1814">
        <f t="shared" si="4"/>
        <v>1</v>
      </c>
      <c r="AC17" s="2677">
        <f t="shared" si="5"/>
        <v>1</v>
      </c>
    </row>
    <row r="18" spans="1:29" ht="15">
      <c r="A18" s="429"/>
      <c r="B18" s="633"/>
      <c r="C18" s="2679"/>
      <c r="D18" s="451"/>
      <c r="E18" s="2612"/>
      <c r="F18" s="451"/>
      <c r="G18" s="2613"/>
      <c r="H18" s="449"/>
      <c r="I18" s="2613"/>
      <c r="J18" s="449"/>
      <c r="K18" s="616"/>
      <c r="L18" s="1142"/>
      <c r="M18" s="1133"/>
      <c r="N18" s="1133"/>
      <c r="O18" s="1133"/>
      <c r="P18" s="3192"/>
      <c r="Q18" s="1813"/>
      <c r="R18" s="773"/>
      <c r="S18" s="774"/>
      <c r="T18" s="773"/>
      <c r="U18" s="774"/>
      <c r="V18" s="773"/>
      <c r="W18" s="774"/>
      <c r="X18" s="1816"/>
      <c r="Y18" s="3185"/>
      <c r="Z18" s="1817"/>
      <c r="AA18" s="1814">
        <v>1</v>
      </c>
      <c r="AB18" s="1814">
        <v>1</v>
      </c>
      <c r="AC18" s="2677">
        <v>1</v>
      </c>
    </row>
    <row r="19" spans="1:29" ht="28.5">
      <c r="A19" s="429"/>
      <c r="B19" s="632" t="s">
        <v>2685</v>
      </c>
      <c r="C19" s="2678"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c r="L19" s="1142"/>
      <c r="M19" s="1133"/>
      <c r="N19" s="1133"/>
      <c r="O19" s="1133"/>
      <c r="P19" s="3192"/>
      <c r="Q19" s="1813" t="str">
        <f>B19</f>
        <v>公共配套设施</v>
      </c>
      <c r="R19" s="773" t="s">
        <v>17</v>
      </c>
      <c r="S19" s="774">
        <f>F19</f>
        <v>100</v>
      </c>
      <c r="T19" s="773" t="s">
        <v>17</v>
      </c>
      <c r="U19" s="774">
        <f>H19</f>
        <v>100</v>
      </c>
      <c r="V19" s="773" t="s">
        <v>17</v>
      </c>
      <c r="W19" s="774">
        <f>J19</f>
        <v>100</v>
      </c>
      <c r="X19" s="1816"/>
      <c r="Y19" s="3185"/>
      <c r="Z19" s="1817" t="str">
        <f>Q19</f>
        <v>公共配套设施</v>
      </c>
      <c r="AA19" s="1814">
        <f t="shared" si="3"/>
        <v>1</v>
      </c>
      <c r="AB19" s="1814">
        <f t="shared" si="4"/>
        <v>1</v>
      </c>
      <c r="AC19" s="2677">
        <f t="shared" si="5"/>
        <v>1</v>
      </c>
    </row>
    <row r="20" spans="1:29" ht="15">
      <c r="A20" s="429"/>
      <c r="B20" s="633"/>
      <c r="C20" s="2614"/>
      <c r="D20" s="449"/>
      <c r="E20" s="2607"/>
      <c r="F20" s="449"/>
      <c r="G20" s="2608"/>
      <c r="H20" s="449"/>
      <c r="I20" s="2608"/>
      <c r="J20" s="449"/>
      <c r="K20" s="616"/>
      <c r="L20" s="1142"/>
      <c r="M20" s="1133"/>
      <c r="N20" s="1133"/>
      <c r="O20" s="1133"/>
      <c r="P20" s="3192"/>
      <c r="Q20" s="1813"/>
      <c r="R20" s="773"/>
      <c r="S20" s="774"/>
      <c r="T20" s="773"/>
      <c r="U20" s="774"/>
      <c r="V20" s="773"/>
      <c r="W20" s="774"/>
      <c r="X20" s="1816"/>
      <c r="Y20" s="3185"/>
      <c r="Z20" s="1817"/>
      <c r="AA20" s="1814">
        <v>1</v>
      </c>
      <c r="AB20" s="1814">
        <v>1</v>
      </c>
      <c r="AC20" s="2677">
        <v>1</v>
      </c>
    </row>
    <row r="21" spans="1:29" ht="28.5">
      <c r="A21" s="429"/>
      <c r="B21" s="634" t="s">
        <v>2686</v>
      </c>
      <c r="C21" s="2678" t="str">
        <f>估价对象房地状况!C8</f>
        <v>估价对象所在区域基础设施水平七通</v>
      </c>
      <c r="D21" s="451">
        <v>100</v>
      </c>
      <c r="E21" s="460"/>
      <c r="F21" s="456">
        <f>SUMIF(83:83,E22,84:84)-SUMIF(83:83,C22,84:84)+100</f>
        <v>100</v>
      </c>
      <c r="G21" s="458"/>
      <c r="H21" s="451">
        <f>SUMIF(83:83,G22,84:84)-SUMIF(83:83,C22,84:84)+100</f>
        <v>100</v>
      </c>
      <c r="I21" s="458"/>
      <c r="J21" s="451">
        <f>SUMIF(83:83,I22,84:84)-SUMIF(83:83,C22,84:84)+100</f>
        <v>100</v>
      </c>
      <c r="K21" s="615"/>
      <c r="L21" s="1142"/>
      <c r="M21" s="1133"/>
      <c r="N21" s="1133"/>
      <c r="O21" s="1133"/>
      <c r="P21" s="3192"/>
      <c r="Q21" s="1813" t="str">
        <f>B21</f>
        <v>基础设施水平</v>
      </c>
      <c r="R21" s="773" t="s">
        <v>17</v>
      </c>
      <c r="S21" s="774">
        <f>F21</f>
        <v>100</v>
      </c>
      <c r="T21" s="773" t="s">
        <v>17</v>
      </c>
      <c r="U21" s="774">
        <f>H21</f>
        <v>100</v>
      </c>
      <c r="V21" s="773" t="s">
        <v>17</v>
      </c>
      <c r="W21" s="774">
        <f>J21</f>
        <v>100</v>
      </c>
      <c r="X21" s="1816"/>
      <c r="Y21" s="3185"/>
      <c r="Z21" s="1817" t="str">
        <f>Q21</f>
        <v>基础设施水平</v>
      </c>
      <c r="AA21" s="1814">
        <f>D21/F21</f>
        <v>1</v>
      </c>
      <c r="AB21" s="1814">
        <f>D21/H21</f>
        <v>1</v>
      </c>
      <c r="AC21" s="2677">
        <f>D21/J21</f>
        <v>1</v>
      </c>
    </row>
    <row r="22" spans="1:29" ht="15">
      <c r="A22" s="429"/>
      <c r="B22" s="634"/>
      <c r="C22" s="2679"/>
      <c r="D22" s="449"/>
      <c r="E22" s="448"/>
      <c r="F22" s="449"/>
      <c r="G22" s="2614"/>
      <c r="H22" s="449"/>
      <c r="I22" s="2614"/>
      <c r="J22" s="449"/>
      <c r="K22" s="1385"/>
      <c r="L22" s="1142"/>
      <c r="M22" s="1133"/>
      <c r="N22" s="1133"/>
      <c r="O22" s="1133"/>
      <c r="P22" s="3192"/>
      <c r="Q22" s="1813"/>
      <c r="R22" s="773"/>
      <c r="S22" s="774"/>
      <c r="T22" s="773"/>
      <c r="U22" s="774"/>
      <c r="V22" s="773"/>
      <c r="W22" s="774"/>
      <c r="X22" s="1816"/>
      <c r="Y22" s="3185"/>
      <c r="Z22" s="1817"/>
      <c r="AA22" s="1814">
        <v>1</v>
      </c>
      <c r="AB22" s="1814">
        <v>1</v>
      </c>
      <c r="AC22" s="2677">
        <v>1</v>
      </c>
    </row>
    <row r="23" spans="1:29" ht="57">
      <c r="A23" s="429"/>
      <c r="B23" s="632" t="s">
        <v>2687</v>
      </c>
      <c r="C23" s="2678" t="str">
        <f>估价对象房地状况!C9</f>
        <v>区域自然环境较好；人文环境较好；综合评价环境状况较好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2"/>
      <c r="M23" s="1133"/>
      <c r="N23" s="1133"/>
      <c r="O23" s="1133"/>
      <c r="P23" s="3192"/>
      <c r="Q23" s="1813" t="str">
        <f>B23</f>
        <v>环境质量</v>
      </c>
      <c r="R23" s="773" t="s">
        <v>17</v>
      </c>
      <c r="S23" s="774">
        <f>F23</f>
        <v>100</v>
      </c>
      <c r="T23" s="773" t="s">
        <v>17</v>
      </c>
      <c r="U23" s="774">
        <f>H23</f>
        <v>100</v>
      </c>
      <c r="V23" s="773" t="s">
        <v>17</v>
      </c>
      <c r="W23" s="774">
        <f>J23</f>
        <v>100</v>
      </c>
      <c r="X23" s="1816"/>
      <c r="Y23" s="3185"/>
      <c r="Z23" s="1817" t="str">
        <f>Q23</f>
        <v>环境质量</v>
      </c>
      <c r="AA23" s="1814">
        <f t="shared" si="3"/>
        <v>1</v>
      </c>
      <c r="AB23" s="1814">
        <f t="shared" si="4"/>
        <v>1</v>
      </c>
      <c r="AC23" s="2677">
        <f t="shared" si="5"/>
        <v>1</v>
      </c>
    </row>
    <row r="24" spans="1:29" ht="15">
      <c r="A24" s="429"/>
      <c r="B24" s="634"/>
      <c r="C24" s="2614"/>
      <c r="D24" s="449"/>
      <c r="E24" s="2607"/>
      <c r="F24" s="449"/>
      <c r="G24" s="2608"/>
      <c r="H24" s="449"/>
      <c r="I24" s="2608"/>
      <c r="J24" s="449"/>
      <c r="K24" s="616"/>
      <c r="L24" s="1142"/>
      <c r="M24" s="1133"/>
      <c r="N24" s="1133"/>
      <c r="O24" s="1133"/>
      <c r="P24" s="3192"/>
      <c r="Q24" s="1813"/>
      <c r="R24" s="773"/>
      <c r="S24" s="774"/>
      <c r="T24" s="773"/>
      <c r="U24" s="774"/>
      <c r="V24" s="773"/>
      <c r="W24" s="774"/>
      <c r="X24" s="1816"/>
      <c r="Y24" s="3185"/>
      <c r="Z24" s="1817"/>
      <c r="AA24" s="1814">
        <v>1</v>
      </c>
      <c r="AB24" s="1814">
        <v>1</v>
      </c>
      <c r="AC24" s="2677">
        <v>1</v>
      </c>
    </row>
    <row r="25" spans="1:29" ht="27">
      <c r="A25" s="405"/>
      <c r="B25" s="632" t="s">
        <v>2688</v>
      </c>
      <c r="C25" s="2618"/>
      <c r="D25" s="436">
        <v>100</v>
      </c>
      <c r="E25" s="435"/>
      <c r="F25" s="436">
        <f>SUMIF(87:87,E26,88:88)-SUMIF(87:87,C26,88:88)+100</f>
        <v>100</v>
      </c>
      <c r="G25" s="2618"/>
      <c r="H25" s="436">
        <f>SUMIF(87:87,G26,88:88)-SUMIF(87:87,C26,88:88)+100</f>
        <v>100</v>
      </c>
      <c r="I25" s="435"/>
      <c r="J25" s="436">
        <f>SUMIF(87:87,I26,88:88)-SUMIF(87:87,C26,88:88)+100</f>
        <v>100</v>
      </c>
      <c r="K25" s="615"/>
      <c r="L25" s="1142"/>
      <c r="M25" s="1133"/>
      <c r="N25" s="1133"/>
      <c r="O25" s="1133"/>
      <c r="P25" s="3192"/>
      <c r="Q25" s="1813" t="str">
        <f>B25</f>
        <v>毗邻道路的类型与等级</v>
      </c>
      <c r="R25" s="773" t="s">
        <v>17</v>
      </c>
      <c r="S25" s="774">
        <f>F25</f>
        <v>100</v>
      </c>
      <c r="T25" s="773" t="s">
        <v>17</v>
      </c>
      <c r="U25" s="774">
        <f>H25</f>
        <v>100</v>
      </c>
      <c r="V25" s="773" t="s">
        <v>17</v>
      </c>
      <c r="W25" s="774">
        <f>J25</f>
        <v>100</v>
      </c>
      <c r="X25" s="1816"/>
      <c r="Y25" s="3185"/>
      <c r="Z25" s="1817" t="str">
        <f>Q25</f>
        <v>毗邻道路的类型与等级</v>
      </c>
      <c r="AA25" s="1814">
        <f t="shared" si="3"/>
        <v>1</v>
      </c>
      <c r="AB25" s="1814">
        <f t="shared" si="4"/>
        <v>1</v>
      </c>
      <c r="AC25" s="2677">
        <f t="shared" si="5"/>
        <v>1</v>
      </c>
    </row>
    <row r="26" spans="1:29" ht="15">
      <c r="A26" s="405"/>
      <c r="B26" s="633"/>
      <c r="C26" s="635"/>
      <c r="D26" s="436"/>
      <c r="E26" s="617"/>
      <c r="F26" s="436"/>
      <c r="G26" s="635"/>
      <c r="H26" s="436"/>
      <c r="I26" s="617"/>
      <c r="J26" s="436"/>
      <c r="K26" s="616"/>
      <c r="L26" s="1142"/>
      <c r="M26" s="1133"/>
      <c r="N26" s="1133"/>
      <c r="O26" s="1133"/>
      <c r="P26" s="3192"/>
      <c r="Q26" s="1813"/>
      <c r="R26" s="773"/>
      <c r="S26" s="774"/>
      <c r="T26" s="773"/>
      <c r="U26" s="774"/>
      <c r="V26" s="773"/>
      <c r="W26" s="774"/>
      <c r="X26" s="1816"/>
      <c r="Y26" s="3185"/>
      <c r="Z26" s="1817"/>
      <c r="AA26" s="1814">
        <v>1</v>
      </c>
      <c r="AB26" s="1814">
        <v>1</v>
      </c>
      <c r="AC26" s="2677">
        <v>1</v>
      </c>
    </row>
    <row r="27" spans="1:29" ht="15">
      <c r="A27" s="429"/>
      <c r="B27" s="633" t="s">
        <v>2656</v>
      </c>
      <c r="C27" s="635"/>
      <c r="D27" s="436">
        <v>100</v>
      </c>
      <c r="E27" s="617"/>
      <c r="F27" s="436">
        <f>SUMIF(89:89,E27,90:90)-SUMIF(89:89,C27,90:90)+100</f>
        <v>100</v>
      </c>
      <c r="G27" s="635"/>
      <c r="H27" s="436">
        <f>SUMIF(89:89,G27,90:90)-SUMIF(89:89,C27,90:90)+100</f>
        <v>100</v>
      </c>
      <c r="I27" s="617"/>
      <c r="J27" s="436">
        <f>SUMIF(89:89,I27,90:90)-SUMIF(89:89,C27,90:90)+100</f>
        <v>100</v>
      </c>
      <c r="K27" s="613"/>
      <c r="L27" s="1142"/>
      <c r="M27" s="1133"/>
      <c r="N27" s="1133"/>
      <c r="O27" s="1133"/>
      <c r="P27" s="3192"/>
      <c r="Q27" s="1813" t="str">
        <f t="shared" ref="Q27:Q47" si="8">B27</f>
        <v>楼层</v>
      </c>
      <c r="R27" s="773" t="s">
        <v>17</v>
      </c>
      <c r="S27" s="774">
        <f>F27</f>
        <v>100</v>
      </c>
      <c r="T27" s="773" t="s">
        <v>17</v>
      </c>
      <c r="U27" s="774">
        <f>H27</f>
        <v>100</v>
      </c>
      <c r="V27" s="773" t="s">
        <v>17</v>
      </c>
      <c r="W27" s="774">
        <f>J27</f>
        <v>100</v>
      </c>
      <c r="X27" s="1816"/>
      <c r="Y27" s="3185"/>
      <c r="Z27" s="1817" t="str">
        <f>Q27</f>
        <v>楼层</v>
      </c>
      <c r="AA27" s="1814">
        <f t="shared" si="3"/>
        <v>1</v>
      </c>
      <c r="AB27" s="1814">
        <f t="shared" si="4"/>
        <v>1</v>
      </c>
      <c r="AC27" s="2677">
        <f t="shared" si="5"/>
        <v>1</v>
      </c>
    </row>
    <row r="28" spans="1:29" s="117" customFormat="1" ht="15">
      <c r="A28" s="432"/>
      <c r="B28" s="632" t="s">
        <v>2689</v>
      </c>
      <c r="C28" s="2680"/>
      <c r="D28" s="463">
        <v>100</v>
      </c>
      <c r="E28" s="2668"/>
      <c r="F28" s="463">
        <f>SUMIF(91:91,E28,92:92)-SUMIF(91:91,C28,92:92)+100</f>
        <v>100</v>
      </c>
      <c r="G28" s="2680"/>
      <c r="H28" s="463">
        <f>SUMIF(91:91,G28,92:92)-SUMIF(91:91,C28,92:92)+100</f>
        <v>100</v>
      </c>
      <c r="I28" s="2668"/>
      <c r="J28" s="463">
        <f>SUMIF(91:91,I28,92:92)-SUMIF(91:91,C28,92:92)+100</f>
        <v>100</v>
      </c>
      <c r="K28" s="613"/>
      <c r="L28" s="1134"/>
      <c r="M28" s="1135"/>
      <c r="N28" s="1135"/>
      <c r="O28" s="1135"/>
      <c r="P28" s="3192"/>
      <c r="Q28" s="1798" t="str">
        <f t="shared" si="8"/>
        <v>朝向</v>
      </c>
      <c r="R28" s="769" t="s">
        <v>17</v>
      </c>
      <c r="S28" s="770">
        <f>F28</f>
        <v>100</v>
      </c>
      <c r="T28" s="769" t="s">
        <v>17</v>
      </c>
      <c r="U28" s="770">
        <f>H28</f>
        <v>100</v>
      </c>
      <c r="V28" s="769" t="s">
        <v>17</v>
      </c>
      <c r="W28" s="770">
        <f>J28</f>
        <v>100</v>
      </c>
      <c r="X28" s="771"/>
      <c r="Y28" s="3185"/>
      <c r="Z28" s="55" t="str">
        <f>Q28</f>
        <v>朝向</v>
      </c>
      <c r="AA28" s="1814">
        <f>D28/F28</f>
        <v>1</v>
      </c>
      <c r="AB28" s="1814">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2"/>
      <c r="M29" s="1133"/>
      <c r="N29" s="1133"/>
      <c r="O29" s="1133"/>
      <c r="P29" s="3192"/>
      <c r="Q29" s="1813">
        <f t="shared" si="8"/>
        <v>111</v>
      </c>
      <c r="R29" s="773" t="s">
        <v>17</v>
      </c>
      <c r="S29" s="774">
        <f t="shared" ref="S29:S47" si="9">F29</f>
        <v>100</v>
      </c>
      <c r="T29" s="773" t="s">
        <v>17</v>
      </c>
      <c r="U29" s="774">
        <f t="shared" ref="U29:U47" si="10">H29</f>
        <v>100</v>
      </c>
      <c r="V29" s="773" t="s">
        <v>17</v>
      </c>
      <c r="W29" s="774">
        <f t="shared" ref="W29:W47" si="11">J29</f>
        <v>100</v>
      </c>
      <c r="X29" s="1816"/>
      <c r="Y29" s="3185"/>
      <c r="Z29" s="1817">
        <f t="shared" ref="Z29:Z47" si="12">Q29</f>
        <v>111</v>
      </c>
      <c r="AA29" s="1814">
        <f t="shared" si="3"/>
        <v>1</v>
      </c>
      <c r="AB29" s="1814">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2"/>
      <c r="M30" s="1133"/>
      <c r="N30" s="1133"/>
      <c r="O30" s="1133"/>
      <c r="P30" s="3192"/>
      <c r="Q30" s="1813">
        <f t="shared" si="8"/>
        <v>111</v>
      </c>
      <c r="R30" s="773" t="s">
        <v>17</v>
      </c>
      <c r="S30" s="774">
        <f t="shared" si="9"/>
        <v>100</v>
      </c>
      <c r="T30" s="773" t="s">
        <v>17</v>
      </c>
      <c r="U30" s="774">
        <f t="shared" si="10"/>
        <v>100</v>
      </c>
      <c r="V30" s="773" t="s">
        <v>17</v>
      </c>
      <c r="W30" s="774">
        <f t="shared" si="11"/>
        <v>100</v>
      </c>
      <c r="X30" s="1816"/>
      <c r="Y30" s="3185"/>
      <c r="Z30" s="1817">
        <f t="shared" si="12"/>
        <v>111</v>
      </c>
      <c r="AA30" s="1814">
        <f t="shared" si="3"/>
        <v>1</v>
      </c>
      <c r="AB30" s="1814">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2"/>
      <c r="M31" s="1133"/>
      <c r="N31" s="1133"/>
      <c r="O31" s="1133"/>
      <c r="P31" s="3192"/>
      <c r="Q31" s="1813">
        <f t="shared" si="8"/>
        <v>111</v>
      </c>
      <c r="R31" s="773" t="s">
        <v>17</v>
      </c>
      <c r="S31" s="774">
        <f t="shared" si="9"/>
        <v>100</v>
      </c>
      <c r="T31" s="773" t="s">
        <v>17</v>
      </c>
      <c r="U31" s="774">
        <f t="shared" si="10"/>
        <v>100</v>
      </c>
      <c r="V31" s="773" t="s">
        <v>17</v>
      </c>
      <c r="W31" s="774">
        <f t="shared" si="11"/>
        <v>100</v>
      </c>
      <c r="X31" s="1816"/>
      <c r="Y31" s="3185"/>
      <c r="Z31" s="1817">
        <f t="shared" si="12"/>
        <v>111</v>
      </c>
      <c r="AA31" s="1814">
        <f t="shared" si="3"/>
        <v>1</v>
      </c>
      <c r="AB31" s="1814">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2"/>
      <c r="M32" s="1133"/>
      <c r="N32" s="1133"/>
      <c r="O32" s="1133"/>
      <c r="P32" s="3192"/>
      <c r="Q32" s="1813">
        <f t="shared" si="8"/>
        <v>111</v>
      </c>
      <c r="R32" s="773" t="s">
        <v>17</v>
      </c>
      <c r="S32" s="774">
        <f t="shared" si="9"/>
        <v>100</v>
      </c>
      <c r="T32" s="773" t="s">
        <v>17</v>
      </c>
      <c r="U32" s="774">
        <f t="shared" si="10"/>
        <v>100</v>
      </c>
      <c r="V32" s="773" t="s">
        <v>17</v>
      </c>
      <c r="W32" s="774">
        <f t="shared" si="11"/>
        <v>100</v>
      </c>
      <c r="X32" s="1816"/>
      <c r="Y32" s="3185"/>
      <c r="Z32" s="1817">
        <f t="shared" si="12"/>
        <v>111</v>
      </c>
      <c r="AA32" s="1814">
        <f t="shared" si="3"/>
        <v>1</v>
      </c>
      <c r="AB32" s="1814">
        <f t="shared" si="4"/>
        <v>1</v>
      </c>
      <c r="AC32" s="2677">
        <f t="shared" si="5"/>
        <v>1</v>
      </c>
    </row>
    <row r="33" spans="1:29" ht="15">
      <c r="A33" s="441" t="s">
        <v>2561</v>
      </c>
      <c r="B33" s="71" t="s">
        <v>2690</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2"/>
      <c r="M33" s="1133"/>
      <c r="N33" s="1133"/>
      <c r="O33" s="1133"/>
      <c r="P33" s="3186" t="s">
        <v>2563</v>
      </c>
      <c r="Q33" s="1813" t="str">
        <f t="shared" si="8"/>
        <v>建筑类型</v>
      </c>
      <c r="R33" s="773" t="s">
        <v>17</v>
      </c>
      <c r="S33" s="774">
        <f t="shared" si="9"/>
        <v>100</v>
      </c>
      <c r="T33" s="773" t="s">
        <v>17</v>
      </c>
      <c r="U33" s="774">
        <f t="shared" si="10"/>
        <v>100</v>
      </c>
      <c r="V33" s="773" t="s">
        <v>17</v>
      </c>
      <c r="W33" s="774">
        <f t="shared" si="11"/>
        <v>100</v>
      </c>
      <c r="X33" s="1816"/>
      <c r="Y33" s="3189" t="s">
        <v>2563</v>
      </c>
      <c r="Z33" s="1817" t="str">
        <f t="shared" si="12"/>
        <v>建筑类型</v>
      </c>
      <c r="AA33" s="1814">
        <f t="shared" si="3"/>
        <v>1</v>
      </c>
      <c r="AB33" s="1814">
        <f t="shared" si="4"/>
        <v>1</v>
      </c>
      <c r="AC33" s="2677">
        <f t="shared" si="5"/>
        <v>1</v>
      </c>
    </row>
    <row r="34" spans="1:29" s="472" customFormat="1" ht="15">
      <c r="A34" s="469"/>
      <c r="B34" s="423" t="s">
        <v>2564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0"/>
      <c r="M34" s="1143"/>
      <c r="N34" s="1143"/>
      <c r="O34" s="1143"/>
      <c r="P34" s="3187"/>
      <c r="Q34" s="775" t="str">
        <f t="shared" si="8"/>
        <v>项目建筑规模</v>
      </c>
      <c r="R34" s="776" t="s">
        <v>17</v>
      </c>
      <c r="S34" s="777" t="e">
        <f t="shared" si="9"/>
        <v>#N/A</v>
      </c>
      <c r="T34" s="776" t="s">
        <v>17</v>
      </c>
      <c r="U34" s="777" t="e">
        <f t="shared" si="10"/>
        <v>#N/A</v>
      </c>
      <c r="V34" s="776" t="s">
        <v>17</v>
      </c>
      <c r="W34" s="777" t="e">
        <f t="shared" si="11"/>
        <v>#N/A</v>
      </c>
      <c r="X34" s="778"/>
      <c r="Y34" s="3189"/>
      <c r="Z34" s="779" t="str">
        <f t="shared" si="12"/>
        <v>项目建筑规模</v>
      </c>
      <c r="AA34" s="1814" t="e">
        <f t="shared" si="3"/>
        <v>#N/A</v>
      </c>
      <c r="AB34" s="1814" t="e">
        <f t="shared" si="4"/>
        <v>#N/A</v>
      </c>
      <c r="AC34" s="2677" t="e">
        <f t="shared" si="5"/>
        <v>#N/A</v>
      </c>
    </row>
    <row r="35" spans="1:29" ht="15">
      <c r="A35" s="473"/>
      <c r="B35" s="423" t="s">
        <v>2565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2"/>
      <c r="M35" s="1133"/>
      <c r="N35" s="1133"/>
      <c r="O35" s="1133"/>
      <c r="P35" s="3187"/>
      <c r="Q35" s="1813" t="str">
        <f t="shared" si="8"/>
        <v>建筑结构</v>
      </c>
      <c r="R35" s="773" t="s">
        <v>17</v>
      </c>
      <c r="S35" s="774">
        <f t="shared" si="9"/>
        <v>100</v>
      </c>
      <c r="T35" s="773" t="s">
        <v>17</v>
      </c>
      <c r="U35" s="774">
        <f t="shared" si="10"/>
        <v>100</v>
      </c>
      <c r="V35" s="773" t="s">
        <v>17</v>
      </c>
      <c r="W35" s="774">
        <f t="shared" si="11"/>
        <v>100</v>
      </c>
      <c r="X35" s="1816"/>
      <c r="Y35" s="3189"/>
      <c r="Z35" s="1817" t="str">
        <f t="shared" si="12"/>
        <v>建筑结构</v>
      </c>
      <c r="AA35" s="1814">
        <f t="shared" si="3"/>
        <v>1</v>
      </c>
      <c r="AB35" s="1814">
        <f t="shared" si="4"/>
        <v>1</v>
      </c>
      <c r="AC35" s="2677">
        <f t="shared" si="5"/>
        <v>1</v>
      </c>
    </row>
    <row r="36" spans="1:29" ht="15">
      <c r="A36" s="473"/>
      <c r="B36" s="423" t="s">
        <v>2658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2"/>
      <c r="M36" s="1133"/>
      <c r="N36" s="1133"/>
      <c r="O36" s="1133"/>
      <c r="P36" s="3187"/>
      <c r="Q36" s="1813" t="str">
        <f t="shared" si="8"/>
        <v>公共部分装修</v>
      </c>
      <c r="R36" s="773" t="s">
        <v>17</v>
      </c>
      <c r="S36" s="774">
        <f t="shared" si="9"/>
        <v>100</v>
      </c>
      <c r="T36" s="773" t="s">
        <v>17</v>
      </c>
      <c r="U36" s="774">
        <f t="shared" si="10"/>
        <v>100</v>
      </c>
      <c r="V36" s="773" t="s">
        <v>17</v>
      </c>
      <c r="W36" s="774">
        <f t="shared" si="11"/>
        <v>100</v>
      </c>
      <c r="X36" s="1816"/>
      <c r="Y36" s="3189"/>
      <c r="Z36" s="1817" t="str">
        <f t="shared" si="12"/>
        <v>公共部分装修</v>
      </c>
      <c r="AA36" s="1814">
        <f t="shared" si="3"/>
        <v>1</v>
      </c>
      <c r="AB36" s="1814">
        <f t="shared" si="4"/>
        <v>1</v>
      </c>
      <c r="AC36" s="2677">
        <f t="shared" si="5"/>
        <v>1</v>
      </c>
    </row>
    <row r="37" spans="1:29" ht="15">
      <c r="A37" s="473"/>
      <c r="B37" s="423" t="s">
        <v>2659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2"/>
      <c r="M37" s="1133"/>
      <c r="N37" s="1133"/>
      <c r="O37" s="1133"/>
      <c r="P37" s="3187"/>
      <c r="Q37" s="1813" t="str">
        <f t="shared" si="8"/>
        <v>成新度</v>
      </c>
      <c r="R37" s="773" t="s">
        <v>17</v>
      </c>
      <c r="S37" s="774" t="e">
        <f t="shared" si="9"/>
        <v>#N/A</v>
      </c>
      <c r="T37" s="773" t="s">
        <v>17</v>
      </c>
      <c r="U37" s="774" t="e">
        <f t="shared" si="10"/>
        <v>#N/A</v>
      </c>
      <c r="V37" s="773" t="s">
        <v>17</v>
      </c>
      <c r="W37" s="774" t="e">
        <f t="shared" si="11"/>
        <v>#N/A</v>
      </c>
      <c r="X37" s="1816"/>
      <c r="Y37" s="3189"/>
      <c r="Z37" s="1817" t="str">
        <f t="shared" si="12"/>
        <v>成新度</v>
      </c>
      <c r="AA37" s="1814" t="e">
        <f t="shared" si="3"/>
        <v>#N/A</v>
      </c>
      <c r="AB37" s="1814" t="e">
        <f t="shared" si="4"/>
        <v>#N/A</v>
      </c>
      <c r="AC37" s="2677" t="e">
        <f t="shared" si="5"/>
        <v>#N/A</v>
      </c>
    </row>
    <row r="38" spans="1:29" s="117" customFormat="1" ht="15">
      <c r="A38" s="474"/>
      <c r="B38" s="423" t="s">
        <v>2691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4"/>
      <c r="M38" s="1135"/>
      <c r="N38" s="1135"/>
      <c r="O38" s="1135"/>
      <c r="P38" s="3187"/>
      <c r="Q38" s="1798" t="str">
        <f t="shared" si="8"/>
        <v>写字楼等级</v>
      </c>
      <c r="R38" s="769" t="s">
        <v>17</v>
      </c>
      <c r="S38" s="770">
        <f t="shared" si="9"/>
        <v>100</v>
      </c>
      <c r="T38" s="769" t="s">
        <v>17</v>
      </c>
      <c r="U38" s="770">
        <f t="shared" si="10"/>
        <v>100</v>
      </c>
      <c r="V38" s="769" t="s">
        <v>17</v>
      </c>
      <c r="W38" s="770">
        <f t="shared" si="11"/>
        <v>100</v>
      </c>
      <c r="X38" s="771"/>
      <c r="Y38" s="3189"/>
      <c r="Z38" s="55" t="str">
        <f t="shared" si="12"/>
        <v>写字楼等级</v>
      </c>
      <c r="AA38" s="772">
        <f t="shared" si="3"/>
        <v>1</v>
      </c>
      <c r="AB38" s="772">
        <f t="shared" si="4"/>
        <v>1</v>
      </c>
      <c r="AC38" s="2674">
        <f t="shared" si="5"/>
        <v>1</v>
      </c>
    </row>
    <row r="39" spans="1:29" ht="15">
      <c r="A39" s="473"/>
      <c r="B39" s="423" t="s">
        <v>2692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2"/>
      <c r="M39" s="1133"/>
      <c r="N39" s="1133"/>
      <c r="O39" s="1133"/>
      <c r="P39" s="3187" t="s">
        <v>2563</v>
      </c>
      <c r="Q39" s="1813" t="str">
        <f t="shared" si="8"/>
        <v>物业管理</v>
      </c>
      <c r="R39" s="773" t="s">
        <v>17</v>
      </c>
      <c r="S39" s="774">
        <f t="shared" si="9"/>
        <v>100</v>
      </c>
      <c r="T39" s="773" t="s">
        <v>17</v>
      </c>
      <c r="U39" s="774">
        <f t="shared" si="10"/>
        <v>100</v>
      </c>
      <c r="V39" s="773" t="s">
        <v>17</v>
      </c>
      <c r="W39" s="774">
        <f t="shared" si="11"/>
        <v>100</v>
      </c>
      <c r="X39" s="1816"/>
      <c r="Y39" s="3189" t="s">
        <v>2563</v>
      </c>
      <c r="Z39" s="1817" t="str">
        <f t="shared" si="12"/>
        <v>物业管理</v>
      </c>
      <c r="AA39" s="1814">
        <f t="shared" si="3"/>
        <v>1</v>
      </c>
      <c r="AB39" s="1814">
        <f t="shared" si="4"/>
        <v>1</v>
      </c>
      <c r="AC39" s="2677">
        <f t="shared" si="5"/>
        <v>1</v>
      </c>
    </row>
    <row r="40" spans="1:29" ht="15">
      <c r="A40" s="473"/>
      <c r="B40" s="423" t="s">
        <v>2660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2"/>
      <c r="M40" s="1133"/>
      <c r="N40" s="1133"/>
      <c r="O40" s="1133"/>
      <c r="P40" s="3187"/>
      <c r="Q40" s="1813" t="str">
        <f t="shared" si="8"/>
        <v>市政基础设施</v>
      </c>
      <c r="R40" s="773" t="s">
        <v>17</v>
      </c>
      <c r="S40" s="774">
        <f t="shared" si="9"/>
        <v>100</v>
      </c>
      <c r="T40" s="773" t="s">
        <v>17</v>
      </c>
      <c r="U40" s="774">
        <f t="shared" si="10"/>
        <v>100</v>
      </c>
      <c r="V40" s="773" t="s">
        <v>17</v>
      </c>
      <c r="W40" s="774">
        <f t="shared" si="11"/>
        <v>100</v>
      </c>
      <c r="X40" s="1816"/>
      <c r="Y40" s="3189"/>
      <c r="Z40" s="1817" t="str">
        <f t="shared" si="12"/>
        <v>市政基础设施</v>
      </c>
      <c r="AA40" s="1814">
        <f t="shared" si="3"/>
        <v>1</v>
      </c>
      <c r="AB40" s="1814">
        <f t="shared" si="4"/>
        <v>1</v>
      </c>
      <c r="AC40" s="2677">
        <f t="shared" si="5"/>
        <v>1</v>
      </c>
    </row>
    <row r="41" spans="1:29" ht="15">
      <c r="A41" s="473"/>
      <c r="B41" s="423" t="s">
        <v>2662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2"/>
      <c r="M41" s="1133"/>
      <c r="N41" s="1133"/>
      <c r="O41" s="1133"/>
      <c r="P41" s="3187"/>
      <c r="Q41" s="1813" t="str">
        <f t="shared" si="8"/>
        <v>层高</v>
      </c>
      <c r="R41" s="773" t="s">
        <v>17</v>
      </c>
      <c r="S41" s="774">
        <f t="shared" si="9"/>
        <v>100</v>
      </c>
      <c r="T41" s="773" t="s">
        <v>17</v>
      </c>
      <c r="U41" s="774">
        <f t="shared" si="10"/>
        <v>100</v>
      </c>
      <c r="V41" s="773" t="s">
        <v>17</v>
      </c>
      <c r="W41" s="774">
        <f t="shared" si="11"/>
        <v>100</v>
      </c>
      <c r="X41" s="1816"/>
      <c r="Y41" s="3189"/>
      <c r="Z41" s="1817" t="str">
        <f t="shared" si="12"/>
        <v>层高</v>
      </c>
      <c r="AA41" s="1814">
        <f t="shared" si="3"/>
        <v>1</v>
      </c>
      <c r="AB41" s="1814">
        <f t="shared" si="4"/>
        <v>1</v>
      </c>
      <c r="AC41" s="2677">
        <f t="shared" si="5"/>
        <v>1</v>
      </c>
    </row>
    <row r="42" spans="1:29" s="472" customFormat="1" ht="15">
      <c r="A42" s="469"/>
      <c r="B42" s="1815" t="s">
        <v>2693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0"/>
      <c r="M42" s="1143"/>
      <c r="N42" s="1143"/>
      <c r="O42" s="1143"/>
      <c r="P42" s="3187"/>
      <c r="Q42" s="775" t="str">
        <f t="shared" si="8"/>
        <v>单套建筑面积</v>
      </c>
      <c r="R42" s="776" t="s">
        <v>17</v>
      </c>
      <c r="S42" s="777">
        <f t="shared" si="9"/>
        <v>100</v>
      </c>
      <c r="T42" s="776" t="s">
        <v>17</v>
      </c>
      <c r="U42" s="777">
        <f t="shared" si="10"/>
        <v>100</v>
      </c>
      <c r="V42" s="776" t="s">
        <v>17</v>
      </c>
      <c r="W42" s="777">
        <f t="shared" si="11"/>
        <v>100</v>
      </c>
      <c r="X42" s="778"/>
      <c r="Y42" s="3189"/>
      <c r="Z42" s="779" t="str">
        <f t="shared" si="12"/>
        <v>单套建筑面积</v>
      </c>
      <c r="AA42" s="1814">
        <f t="shared" si="3"/>
        <v>1</v>
      </c>
      <c r="AB42" s="1814">
        <f t="shared" si="4"/>
        <v>1</v>
      </c>
      <c r="AC42" s="2677">
        <f t="shared" si="5"/>
        <v>1</v>
      </c>
    </row>
    <row r="43" spans="1:29" ht="15">
      <c r="A43" s="473"/>
      <c r="B43" s="423" t="s">
        <v>2665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2"/>
      <c r="M43" s="1133"/>
      <c r="N43" s="1133"/>
      <c r="O43" s="1133"/>
      <c r="P43" s="3187"/>
      <c r="Q43" s="1813" t="str">
        <f t="shared" si="8"/>
        <v>内部装修</v>
      </c>
      <c r="R43" s="773" t="s">
        <v>17</v>
      </c>
      <c r="S43" s="774">
        <f t="shared" si="9"/>
        <v>100</v>
      </c>
      <c r="T43" s="773" t="s">
        <v>17</v>
      </c>
      <c r="U43" s="774">
        <f t="shared" si="10"/>
        <v>100</v>
      </c>
      <c r="V43" s="773" t="s">
        <v>17</v>
      </c>
      <c r="W43" s="774">
        <f t="shared" si="11"/>
        <v>100</v>
      </c>
      <c r="X43" s="1816"/>
      <c r="Y43" s="3189"/>
      <c r="Z43" s="1817" t="str">
        <f t="shared" si="12"/>
        <v>内部装修</v>
      </c>
      <c r="AA43" s="1814">
        <f t="shared" si="3"/>
        <v>1</v>
      </c>
      <c r="AB43" s="1814">
        <f t="shared" si="4"/>
        <v>1</v>
      </c>
      <c r="AC43" s="2677">
        <f t="shared" si="5"/>
        <v>1</v>
      </c>
    </row>
    <row r="44" spans="1:29" ht="15">
      <c r="A44" s="473"/>
      <c r="B44" s="423" t="s">
        <v>2574</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2"/>
      <c r="M44" s="1133"/>
      <c r="N44" s="1133"/>
      <c r="O44" s="1133"/>
      <c r="P44" s="3187"/>
      <c r="Q44" s="1813" t="str">
        <f t="shared" si="8"/>
        <v>内部装修维护情况</v>
      </c>
      <c r="R44" s="773" t="s">
        <v>17</v>
      </c>
      <c r="S44" s="774">
        <f t="shared" si="9"/>
        <v>100</v>
      </c>
      <c r="T44" s="773" t="s">
        <v>17</v>
      </c>
      <c r="U44" s="774">
        <f t="shared" si="10"/>
        <v>100</v>
      </c>
      <c r="V44" s="773" t="s">
        <v>17</v>
      </c>
      <c r="W44" s="774">
        <f t="shared" si="11"/>
        <v>100</v>
      </c>
      <c r="X44" s="1816"/>
      <c r="Y44" s="3189"/>
      <c r="Z44" s="1817" t="str">
        <f t="shared" si="12"/>
        <v>内部装修维护情况</v>
      </c>
      <c r="AA44" s="1814">
        <f t="shared" si="3"/>
        <v>1</v>
      </c>
      <c r="AB44" s="1814">
        <f t="shared" si="4"/>
        <v>1</v>
      </c>
      <c r="AC44" s="2677">
        <f t="shared" si="5"/>
        <v>1</v>
      </c>
    </row>
    <row r="45" spans="1:29" s="117" customFormat="1" ht="15">
      <c r="A45" s="474"/>
      <c r="B45" s="1388">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4"/>
      <c r="M45" s="1135"/>
      <c r="N45" s="1135"/>
      <c r="O45" s="1135"/>
      <c r="P45" s="3187"/>
      <c r="Q45" s="1798">
        <f t="shared" si="8"/>
        <v>111</v>
      </c>
      <c r="R45" s="769" t="s">
        <v>17</v>
      </c>
      <c r="S45" s="770">
        <f t="shared" si="9"/>
        <v>100</v>
      </c>
      <c r="T45" s="769" t="s">
        <v>17</v>
      </c>
      <c r="U45" s="770">
        <f t="shared" si="10"/>
        <v>100</v>
      </c>
      <c r="V45" s="769" t="s">
        <v>17</v>
      </c>
      <c r="W45" s="770">
        <f t="shared" si="11"/>
        <v>100</v>
      </c>
      <c r="X45" s="771"/>
      <c r="Y45" s="3189"/>
      <c r="Z45" s="55">
        <f t="shared" si="12"/>
        <v>111</v>
      </c>
      <c r="AA45" s="772">
        <f t="shared" si="3"/>
        <v>1</v>
      </c>
      <c r="AB45" s="772">
        <f t="shared" si="4"/>
        <v>1</v>
      </c>
      <c r="AC45" s="2674">
        <f t="shared" si="5"/>
        <v>1</v>
      </c>
    </row>
    <row r="46" spans="1:29" ht="15">
      <c r="A46" s="473"/>
      <c r="B46" s="1388">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2"/>
      <c r="M46" s="1133"/>
      <c r="N46" s="1133"/>
      <c r="O46" s="1133"/>
      <c r="P46" s="3187"/>
      <c r="Q46" s="1813">
        <f t="shared" si="8"/>
        <v>111</v>
      </c>
      <c r="R46" s="773" t="s">
        <v>17</v>
      </c>
      <c r="S46" s="774">
        <f t="shared" si="9"/>
        <v>100</v>
      </c>
      <c r="T46" s="773" t="s">
        <v>17</v>
      </c>
      <c r="U46" s="774">
        <f t="shared" si="10"/>
        <v>100</v>
      </c>
      <c r="V46" s="773" t="s">
        <v>17</v>
      </c>
      <c r="W46" s="774">
        <f t="shared" si="11"/>
        <v>100</v>
      </c>
      <c r="X46" s="1816"/>
      <c r="Y46" s="3189"/>
      <c r="Z46" s="1817">
        <f t="shared" si="12"/>
        <v>111</v>
      </c>
      <c r="AA46" s="1814">
        <f t="shared" si="3"/>
        <v>1</v>
      </c>
      <c r="AB46" s="1814">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2"/>
      <c r="M47" s="1133"/>
      <c r="N47" s="1133"/>
      <c r="O47" s="1133"/>
      <c r="P47" s="3188"/>
      <c r="Q47" s="1813">
        <f t="shared" si="8"/>
        <v>111</v>
      </c>
      <c r="R47" s="773" t="s">
        <v>17</v>
      </c>
      <c r="S47" s="774">
        <f t="shared" si="9"/>
        <v>100</v>
      </c>
      <c r="T47" s="773" t="s">
        <v>17</v>
      </c>
      <c r="U47" s="774">
        <f t="shared" si="10"/>
        <v>100</v>
      </c>
      <c r="V47" s="773" t="s">
        <v>17</v>
      </c>
      <c r="W47" s="774">
        <f t="shared" si="11"/>
        <v>100</v>
      </c>
      <c r="X47" s="1816"/>
      <c r="Y47" s="3190"/>
      <c r="Z47" s="1817">
        <f t="shared" si="12"/>
        <v>111</v>
      </c>
      <c r="AA47" s="1814">
        <f t="shared" si="3"/>
        <v>1</v>
      </c>
      <c r="AB47" s="1814">
        <f t="shared" si="4"/>
        <v>1</v>
      </c>
      <c r="AC47" s="2677">
        <f t="shared" si="5"/>
        <v>1</v>
      </c>
    </row>
    <row r="48" spans="1:29" ht="15">
      <c r="A48" s="480" t="s">
        <v>2575</v>
      </c>
      <c r="B48" s="481"/>
      <c r="C48" s="1409" t="s">
        <v>1</v>
      </c>
      <c r="D48" s="1410"/>
      <c r="E48" s="1411"/>
      <c r="F48" s="1412"/>
      <c r="G48" s="1413"/>
      <c r="H48" s="1414"/>
      <c r="I48" s="1411"/>
      <c r="J48" s="486"/>
      <c r="K48" s="782"/>
      <c r="L48" s="1145"/>
      <c r="M48" s="1133"/>
      <c r="N48" s="1133"/>
      <c r="O48" s="1133"/>
      <c r="P48" s="3164" t="str">
        <f>A48</f>
        <v>成交单价（元/平方米）</v>
      </c>
      <c r="Q48" s="3182"/>
      <c r="R48" s="3183">
        <f>E48</f>
        <v>0</v>
      </c>
      <c r="S48" s="3183"/>
      <c r="T48" s="3183">
        <f>G48</f>
        <v>0</v>
      </c>
      <c r="U48" s="3183"/>
      <c r="V48" s="3183">
        <f>I48</f>
        <v>0</v>
      </c>
      <c r="W48" s="3183"/>
      <c r="X48" s="447"/>
      <c r="Y48" s="780"/>
      <c r="Z48" s="447"/>
      <c r="AA48" s="447"/>
      <c r="AB48" s="447"/>
      <c r="AC48" s="631"/>
    </row>
    <row r="49" spans="1:29" ht="15.75" thickBot="1">
      <c r="A49" s="487" t="s">
        <v>2666</v>
      </c>
      <c r="B49" s="488"/>
      <c r="C49" s="1415" t="e">
        <f>R50</f>
        <v>#DIV/0!</v>
      </c>
      <c r="D49" s="1416"/>
      <c r="E49" s="1417" t="e">
        <f>R49</f>
        <v>#DIV/0!</v>
      </c>
      <c r="F49" s="1417"/>
      <c r="G49" s="1415" t="e">
        <f>T49</f>
        <v>#DIV/0!</v>
      </c>
      <c r="H49" s="1416"/>
      <c r="I49" s="1417" t="e">
        <f>V49</f>
        <v>#DIV/0!</v>
      </c>
      <c r="J49" s="490"/>
      <c r="K49" s="783"/>
      <c r="L49" s="1145"/>
      <c r="M49" s="1133"/>
      <c r="N49" s="1133"/>
      <c r="O49" s="1133"/>
      <c r="P49" s="3164"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7"/>
      <c r="Y49" s="447"/>
      <c r="Z49" s="447"/>
      <c r="AA49" s="447"/>
      <c r="AB49" s="447"/>
      <c r="AC49" s="631"/>
    </row>
    <row r="50" spans="1:29" ht="15.75" thickBot="1">
      <c r="A50" s="493" t="s">
        <v>2667</v>
      </c>
      <c r="B50" s="494"/>
      <c r="C50" s="1419" t="e">
        <f>R50</f>
        <v>#DIV/0!</v>
      </c>
      <c r="D50" s="1419"/>
      <c r="E50" s="1419"/>
      <c r="F50" s="1419"/>
      <c r="G50" s="1419"/>
      <c r="H50" s="1419"/>
      <c r="I50" s="1419"/>
      <c r="J50" s="495"/>
      <c r="K50" s="784"/>
      <c r="L50" s="1145"/>
      <c r="M50" s="1133"/>
      <c r="N50" s="1133"/>
      <c r="O50" s="1133"/>
      <c r="P50" s="3240" t="str">
        <f>A50</f>
        <v>估价对象XX用房的比较价值（楼面单价，元/平方米）</v>
      </c>
      <c r="Q50" s="3241"/>
      <c r="R50" s="3242" t="e">
        <f>IF(F1="售价",ROUND(AVERAGE(R49:V49),0),ROUND(AVERAGE(R49:V49),1))</f>
        <v>#DIV/0!</v>
      </c>
      <c r="S50" s="3242"/>
      <c r="T50" s="3242"/>
      <c r="U50" s="3242"/>
      <c r="V50" s="3242"/>
      <c r="W50" s="3242"/>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8" t="s">
        <v>2668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7"/>
      <c r="L53" s="1108"/>
      <c r="M53" s="1146"/>
      <c r="N53" s="1146"/>
      <c r="O53" s="1146"/>
    </row>
    <row r="54" spans="1:29" ht="13.5" customHeight="1">
      <c r="A54" s="1146"/>
      <c r="B54" s="1146"/>
      <c r="C54" s="498" t="s">
        <v>2669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7"/>
      <c r="L54" s="1108"/>
      <c r="M54" s="1146"/>
      <c r="N54" s="1146"/>
      <c r="O54" s="1146"/>
    </row>
    <row r="55" spans="1:29" s="503" customFormat="1" ht="13.5" customHeight="1">
      <c r="A55" s="1147"/>
      <c r="B55" s="1147"/>
      <c r="C55" s="498" t="s">
        <v>2670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0"/>
      <c r="L55" s="1151"/>
      <c r="M55" s="1147"/>
      <c r="N55" s="1147"/>
      <c r="O55" s="1147"/>
      <c r="P55" s="2683"/>
    </row>
    <row r="56" spans="1:29" s="503"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84"/>
      <c r="Q58" s="505"/>
    </row>
    <row r="59" spans="1:29" s="509" customFormat="1" ht="15">
      <c r="A59" s="506" t="s">
        <v>2546</v>
      </c>
      <c r="B59" s="507"/>
      <c r="C59" s="1577" t="str">
        <f>YEAR(C7)&amp;"-"&amp;MONTH(C7)</f>
        <v>2017-11</v>
      </c>
      <c r="D59" s="1578">
        <f>EDATE(C59,-1)</f>
        <v>43009</v>
      </c>
      <c r="E59" s="1578">
        <f>EDATE(D59,-1)</f>
        <v>42979</v>
      </c>
      <c r="F59" s="1578">
        <f t="shared" ref="F59:O59" si="13">EDATE(E59,-1)</f>
        <v>42948</v>
      </c>
      <c r="G59" s="1578">
        <f t="shared" si="13"/>
        <v>42917</v>
      </c>
      <c r="H59" s="1578">
        <f t="shared" si="13"/>
        <v>42887</v>
      </c>
      <c r="I59" s="1578">
        <f t="shared" si="13"/>
        <v>42856</v>
      </c>
      <c r="J59" s="1578">
        <f t="shared" si="13"/>
        <v>42826</v>
      </c>
      <c r="K59" s="1578">
        <f t="shared" si="13"/>
        <v>42795</v>
      </c>
      <c r="L59" s="1578">
        <f t="shared" si="13"/>
        <v>42767</v>
      </c>
      <c r="M59" s="1578">
        <f t="shared" si="13"/>
        <v>42736</v>
      </c>
      <c r="N59" s="1578">
        <f t="shared" si="13"/>
        <v>42705</v>
      </c>
      <c r="O59" s="1578">
        <f t="shared" si="13"/>
        <v>42675</v>
      </c>
      <c r="P59" s="1574"/>
    </row>
    <row r="60" spans="1:29" s="117" customFormat="1" ht="15">
      <c r="A60" s="510"/>
      <c r="B60" s="511"/>
      <c r="C60" s="1576">
        <v>100</v>
      </c>
      <c r="D60" s="513"/>
      <c r="E60" s="513"/>
      <c r="F60" s="513"/>
      <c r="G60" s="513"/>
      <c r="H60" s="513"/>
      <c r="I60" s="513"/>
      <c r="J60" s="513"/>
      <c r="K60" s="513"/>
      <c r="L60" s="513"/>
      <c r="M60" s="514"/>
      <c r="N60" s="513"/>
      <c r="O60" s="514"/>
      <c r="P60" s="2685"/>
    </row>
    <row r="61" spans="1:29" s="117" customFormat="1" ht="15.75" thickBot="1">
      <c r="A61" s="516" t="s">
        <v>2582</v>
      </c>
      <c r="B61" s="517"/>
      <c r="C61" s="518"/>
      <c r="D61" s="519"/>
      <c r="E61" s="519"/>
      <c r="F61" s="519"/>
      <c r="G61" s="519"/>
      <c r="H61" s="519"/>
      <c r="I61" s="519"/>
      <c r="J61" s="519"/>
      <c r="K61" s="519"/>
      <c r="L61" s="519"/>
      <c r="M61" s="520"/>
      <c r="N61" s="519"/>
      <c r="O61" s="520"/>
      <c r="P61" s="2685"/>
      <c r="Q61" s="505"/>
    </row>
    <row r="62" spans="1:29" s="117" customFormat="1" ht="15">
      <c r="A62" s="522" t="s">
        <v>2548</v>
      </c>
      <c r="B62" s="511"/>
      <c r="C62" s="523" t="s">
        <v>2649</v>
      </c>
      <c r="D62" s="524"/>
      <c r="E62" s="524"/>
      <c r="F62" s="524"/>
      <c r="G62" s="524"/>
      <c r="H62" s="524"/>
      <c r="I62" s="524"/>
      <c r="J62" s="524"/>
      <c r="K62" s="524"/>
      <c r="L62" s="525"/>
      <c r="M62" s="526"/>
      <c r="N62" s="1153"/>
      <c r="O62" s="1153"/>
      <c r="P62" s="2686"/>
      <c r="Q62" s="505"/>
    </row>
    <row r="63" spans="1:29" s="117" customFormat="1" ht="15.75" thickBot="1">
      <c r="A63" s="522"/>
      <c r="B63" s="511"/>
      <c r="C63" s="512">
        <v>100</v>
      </c>
      <c r="D63" s="513"/>
      <c r="E63" s="513"/>
      <c r="F63" s="513"/>
      <c r="G63" s="513"/>
      <c r="H63" s="513"/>
      <c r="I63" s="513"/>
      <c r="J63" s="513"/>
      <c r="K63" s="513"/>
      <c r="L63" s="513"/>
      <c r="M63" s="515"/>
      <c r="N63" s="1153"/>
      <c r="O63" s="1153"/>
      <c r="P63" s="2685"/>
      <c r="Q63" s="505"/>
    </row>
    <row r="64" spans="1:29">
      <c r="A64" s="528" t="s">
        <v>2585</v>
      </c>
      <c r="B64" s="529" t="s">
        <v>2552</v>
      </c>
      <c r="C64" s="530">
        <f>C9</f>
        <v>0</v>
      </c>
      <c r="D64" s="531"/>
      <c r="E64" s="531"/>
      <c r="F64" s="531"/>
      <c r="G64" s="531"/>
      <c r="H64" s="531"/>
      <c r="I64" s="531"/>
      <c r="J64" s="531"/>
      <c r="K64" s="532"/>
      <c r="L64" s="533"/>
      <c r="M64" s="534"/>
      <c r="N64" s="1154"/>
      <c r="O64" s="1154"/>
      <c r="P64" s="2687"/>
      <c r="Q64" s="505"/>
    </row>
    <row r="65" spans="1:17" ht="15.75" thickBot="1">
      <c r="A65" s="535"/>
      <c r="B65" s="536"/>
      <c r="C65" s="537">
        <v>100</v>
      </c>
      <c r="D65" s="537"/>
      <c r="E65" s="537"/>
      <c r="F65" s="537"/>
      <c r="G65" s="537"/>
      <c r="H65" s="537"/>
      <c r="I65" s="537"/>
      <c r="J65" s="537"/>
      <c r="K65" s="537"/>
      <c r="L65" s="537"/>
      <c r="M65" s="538"/>
      <c r="N65" s="1155"/>
      <c r="O65" s="1155"/>
      <c r="P65" s="2687"/>
      <c r="Q65" s="505"/>
    </row>
    <row r="66" spans="1:17" ht="27.75" thickTop="1">
      <c r="A66" s="535"/>
      <c r="B66" s="539" t="s">
        <v>2555</v>
      </c>
      <c r="C66" s="540" t="s">
        <v>2586</v>
      </c>
      <c r="D66" s="540" t="s">
        <v>2587</v>
      </c>
      <c r="E66" s="540" t="s">
        <v>2588</v>
      </c>
      <c r="F66" s="540" t="s">
        <v>2589</v>
      </c>
      <c r="G66" s="540" t="s">
        <v>2590</v>
      </c>
      <c r="H66" s="540" t="s">
        <v>2591</v>
      </c>
      <c r="I66" s="540" t="s">
        <v>2592</v>
      </c>
      <c r="J66" s="540"/>
      <c r="K66" s="541"/>
      <c r="L66" s="542"/>
      <c r="M66" s="543"/>
      <c r="N66" s="1154"/>
      <c r="O66" s="1154"/>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5"/>
      <c r="O67" s="1155"/>
      <c r="P67" s="2687"/>
      <c r="Q67" s="505"/>
    </row>
    <row r="68" spans="1:17" ht="15.75" thickTop="1">
      <c r="A68" s="535"/>
      <c r="B68" s="547" t="s">
        <v>2556</v>
      </c>
      <c r="C68" s="548" t="str">
        <f>C69&amp;"（含）"&amp;"-"&amp;D69</f>
        <v>（含）-</v>
      </c>
      <c r="D68" s="548" t="str">
        <f t="shared" ref="D68:L68" si="14">D69&amp;"（含）"&amp;"-"&amp;E69</f>
        <v>（含）-</v>
      </c>
      <c r="E68" s="548" t="str">
        <f t="shared" si="14"/>
        <v>（含）-</v>
      </c>
      <c r="F68" s="548" t="str">
        <f t="shared" si="14"/>
        <v>（含）-</v>
      </c>
      <c r="G68" s="548" t="str">
        <f t="shared" si="14"/>
        <v>（含）-</v>
      </c>
      <c r="H68" s="548" t="str">
        <f t="shared" si="14"/>
        <v>（含）-</v>
      </c>
      <c r="I68" s="548" t="str">
        <f t="shared" si="14"/>
        <v>（含）-</v>
      </c>
      <c r="J68" s="548" t="str">
        <f t="shared" si="14"/>
        <v>（含）-</v>
      </c>
      <c r="K68" s="548" t="str">
        <f t="shared" si="14"/>
        <v>（含）-</v>
      </c>
      <c r="L68" s="548" t="str">
        <f t="shared" si="14"/>
        <v>（含）-</v>
      </c>
      <c r="M68" s="449" t="str">
        <f>M69&amp;"（含）"&amp;"-"&amp;P69</f>
        <v>（含）-</v>
      </c>
      <c r="N68" s="1155"/>
      <c r="O68" s="1155"/>
      <c r="P68" s="2687"/>
      <c r="Q68" s="505"/>
    </row>
    <row r="69" spans="1:17" ht="15">
      <c r="A69" s="535"/>
      <c r="B69" s="549"/>
      <c r="C69" s="550"/>
      <c r="D69" s="550"/>
      <c r="E69" s="550"/>
      <c r="F69" s="550"/>
      <c r="G69" s="550"/>
      <c r="H69" s="550"/>
      <c r="I69" s="550"/>
      <c r="J69" s="550"/>
      <c r="K69" s="551"/>
      <c r="L69" s="552"/>
      <c r="M69" s="553"/>
      <c r="N69" s="1154"/>
      <c r="O69" s="1154"/>
      <c r="P69" s="2687"/>
      <c r="Q69" s="505"/>
    </row>
    <row r="70" spans="1:17" ht="15.75" thickBot="1">
      <c r="A70" s="535"/>
      <c r="B70" s="536"/>
      <c r="C70" s="545">
        <v>100</v>
      </c>
      <c r="D70" s="545">
        <f t="shared" ref="D70:M70" si="15">C70-$K11</f>
        <v>100</v>
      </c>
      <c r="E70" s="545">
        <f t="shared" si="15"/>
        <v>100</v>
      </c>
      <c r="F70" s="545">
        <f t="shared" si="15"/>
        <v>100</v>
      </c>
      <c r="G70" s="545">
        <f t="shared" si="15"/>
        <v>100</v>
      </c>
      <c r="H70" s="545">
        <f t="shared" si="15"/>
        <v>100</v>
      </c>
      <c r="I70" s="545">
        <f t="shared" si="15"/>
        <v>100</v>
      </c>
      <c r="J70" s="545">
        <f t="shared" si="15"/>
        <v>100</v>
      </c>
      <c r="K70" s="545">
        <f t="shared" si="15"/>
        <v>100</v>
      </c>
      <c r="L70" s="545">
        <f t="shared" si="15"/>
        <v>100</v>
      </c>
      <c r="M70" s="546">
        <f t="shared" si="15"/>
        <v>100</v>
      </c>
      <c r="N70" s="1155"/>
      <c r="O70" s="1155"/>
      <c r="P70" s="2687"/>
      <c r="Q70" s="505"/>
    </row>
    <row r="71" spans="1:17" s="472" customFormat="1" ht="15.75" thickTop="1">
      <c r="A71" s="554"/>
      <c r="B71" s="539">
        <f>B12</f>
        <v>111</v>
      </c>
      <c r="C71" s="555"/>
      <c r="D71" s="555"/>
      <c r="E71" s="555"/>
      <c r="F71" s="555"/>
      <c r="G71" s="555"/>
      <c r="H71" s="556"/>
      <c r="I71" s="556"/>
      <c r="J71" s="556"/>
      <c r="K71" s="556"/>
      <c r="L71" s="557"/>
      <c r="M71" s="558"/>
      <c r="N71" s="1156"/>
      <c r="O71" s="1156"/>
      <c r="P71" s="2688"/>
      <c r="Q71" s="560"/>
    </row>
    <row r="72" spans="1:17" s="472" customFormat="1" ht="15.75" thickBot="1">
      <c r="A72" s="554"/>
      <c r="B72" s="544"/>
      <c r="C72" s="561"/>
      <c r="D72" s="537"/>
      <c r="E72" s="537"/>
      <c r="F72" s="537"/>
      <c r="G72" s="537"/>
      <c r="H72" s="537"/>
      <c r="I72" s="537"/>
      <c r="J72" s="537"/>
      <c r="K72" s="537"/>
      <c r="L72" s="537"/>
      <c r="M72" s="538"/>
      <c r="N72" s="1155"/>
      <c r="O72" s="1155"/>
      <c r="P72" s="2688"/>
      <c r="Q72" s="560"/>
    </row>
    <row r="73" spans="1:17" s="472" customFormat="1" ht="15.75" thickTop="1">
      <c r="A73" s="554"/>
      <c r="B73" s="539">
        <f>B13</f>
        <v>111</v>
      </c>
      <c r="C73" s="555"/>
      <c r="D73" s="555"/>
      <c r="E73" s="555"/>
      <c r="F73" s="555"/>
      <c r="G73" s="555"/>
      <c r="H73" s="556"/>
      <c r="I73" s="556"/>
      <c r="J73" s="556"/>
      <c r="K73" s="556"/>
      <c r="L73" s="557"/>
      <c r="M73" s="558"/>
      <c r="N73" s="1156"/>
      <c r="O73" s="1156"/>
      <c r="P73" s="2689"/>
      <c r="Q73" s="562"/>
    </row>
    <row r="74" spans="1:17" s="472" customFormat="1" ht="15.75" thickBot="1">
      <c r="A74" s="554"/>
      <c r="B74" s="544"/>
      <c r="C74" s="561"/>
      <c r="D74" s="561"/>
      <c r="E74" s="561"/>
      <c r="F74" s="561"/>
      <c r="G74" s="561"/>
      <c r="H74" s="563"/>
      <c r="I74" s="563"/>
      <c r="J74" s="563"/>
      <c r="K74" s="563"/>
      <c r="L74" s="563"/>
      <c r="M74" s="564"/>
      <c r="N74" s="1156"/>
      <c r="O74" s="1156"/>
      <c r="P74" s="2688"/>
      <c r="Q74" s="560"/>
    </row>
    <row r="75" spans="1:17" s="472" customFormat="1" ht="15.75" thickTop="1">
      <c r="A75" s="554"/>
      <c r="B75" s="547">
        <f>B14</f>
        <v>111</v>
      </c>
      <c r="C75" s="524"/>
      <c r="D75" s="524"/>
      <c r="E75" s="524"/>
      <c r="F75" s="524"/>
      <c r="G75" s="524"/>
      <c r="H75" s="565"/>
      <c r="I75" s="565"/>
      <c r="J75" s="565"/>
      <c r="K75" s="565"/>
      <c r="L75" s="566"/>
      <c r="M75" s="567"/>
      <c r="N75" s="1156"/>
      <c r="O75" s="1156"/>
      <c r="P75" s="2690"/>
      <c r="Q75" s="560"/>
    </row>
    <row r="76" spans="1:17" s="472" customFormat="1" ht="15.75" thickBot="1">
      <c r="A76" s="569"/>
      <c r="B76" s="570"/>
      <c r="C76" s="571"/>
      <c r="D76" s="571"/>
      <c r="E76" s="571"/>
      <c r="F76" s="571"/>
      <c r="G76" s="571"/>
      <c r="H76" s="572"/>
      <c r="I76" s="572"/>
      <c r="J76" s="572"/>
      <c r="K76" s="572"/>
      <c r="L76" s="572"/>
      <c r="M76" s="573"/>
      <c r="N76" s="1156"/>
      <c r="O76" s="1156"/>
      <c r="P76" s="2688"/>
      <c r="Q76" s="560"/>
    </row>
    <row r="77" spans="1:17">
      <c r="A77" s="528" t="s">
        <v>2557</v>
      </c>
      <c r="B77" s="529" t="s">
        <v>2694</v>
      </c>
      <c r="C77" s="574" t="s">
        <v>2594</v>
      </c>
      <c r="D77" s="574" t="s">
        <v>2595</v>
      </c>
      <c r="E77" s="574" t="s">
        <v>2596</v>
      </c>
      <c r="F77" s="574" t="s">
        <v>2597</v>
      </c>
      <c r="G77" s="574" t="s">
        <v>2598</v>
      </c>
      <c r="H77" s="530"/>
      <c r="I77" s="530"/>
      <c r="J77" s="530"/>
      <c r="K77" s="575"/>
      <c r="L77" s="576"/>
      <c r="M77" s="577"/>
      <c r="N77" s="1154"/>
      <c r="O77" s="1154"/>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5"/>
      <c r="O78" s="1155"/>
      <c r="P78" s="2687"/>
      <c r="Q78" s="505"/>
    </row>
    <row r="79" spans="1:17" ht="15.75" thickTop="1">
      <c r="A79" s="535"/>
      <c r="B79" s="539" t="s">
        <v>2599</v>
      </c>
      <c r="C79" s="579" t="s">
        <v>2594</v>
      </c>
      <c r="D79" s="579" t="s">
        <v>2595</v>
      </c>
      <c r="E79" s="579" t="s">
        <v>2596</v>
      </c>
      <c r="F79" s="579" t="s">
        <v>2597</v>
      </c>
      <c r="G79" s="579" t="s">
        <v>2598</v>
      </c>
      <c r="H79" s="540"/>
      <c r="I79" s="540"/>
      <c r="J79" s="540"/>
      <c r="K79" s="541"/>
      <c r="L79" s="542"/>
      <c r="M79" s="543"/>
      <c r="N79" s="1154"/>
      <c r="O79" s="1154"/>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5"/>
      <c r="O80" s="1155"/>
      <c r="P80" s="2687"/>
      <c r="Q80" s="505"/>
    </row>
    <row r="81" spans="1:17" ht="15.75" thickTop="1">
      <c r="A81" s="535"/>
      <c r="B81" s="539" t="s">
        <v>2600</v>
      </c>
      <c r="C81" s="579" t="s">
        <v>2594</v>
      </c>
      <c r="D81" s="579" t="s">
        <v>2595</v>
      </c>
      <c r="E81" s="579" t="s">
        <v>2596</v>
      </c>
      <c r="F81" s="579" t="s">
        <v>2597</v>
      </c>
      <c r="G81" s="579" t="s">
        <v>2598</v>
      </c>
      <c r="H81" s="540"/>
      <c r="I81" s="540"/>
      <c r="J81" s="540"/>
      <c r="K81" s="541"/>
      <c r="L81" s="542"/>
      <c r="M81" s="543"/>
      <c r="N81" s="1154"/>
      <c r="O81" s="1154"/>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5"/>
      <c r="O82" s="1155"/>
      <c r="P82" s="2687"/>
      <c r="Q82" s="505"/>
    </row>
    <row r="83" spans="1:17" ht="15.75" thickTop="1">
      <c r="A83" s="535"/>
      <c r="B83" s="547" t="s">
        <v>2686</v>
      </c>
      <c r="C83" s="661" t="s">
        <v>2672</v>
      </c>
      <c r="D83" s="661" t="s">
        <v>2673</v>
      </c>
      <c r="E83" s="661" t="s">
        <v>2674</v>
      </c>
      <c r="F83" s="661" t="s">
        <v>2675</v>
      </c>
      <c r="G83" s="661" t="s">
        <v>2676</v>
      </c>
      <c r="H83" s="540"/>
      <c r="I83" s="540"/>
      <c r="J83" s="540"/>
      <c r="K83" s="540"/>
      <c r="L83" s="540"/>
      <c r="M83" s="1384"/>
      <c r="N83" s="1155"/>
      <c r="O83" s="1155"/>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5"/>
      <c r="O84" s="1155"/>
      <c r="P84" s="2687"/>
      <c r="Q84" s="505"/>
    </row>
    <row r="85" spans="1:17" ht="15.75" thickTop="1">
      <c r="A85" s="535"/>
      <c r="B85" s="539" t="s">
        <v>2695</v>
      </c>
      <c r="C85" s="579" t="s">
        <v>2594</v>
      </c>
      <c r="D85" s="579" t="s">
        <v>2595</v>
      </c>
      <c r="E85" s="579" t="s">
        <v>2596</v>
      </c>
      <c r="F85" s="579" t="s">
        <v>2597</v>
      </c>
      <c r="G85" s="579" t="s">
        <v>2598</v>
      </c>
      <c r="H85" s="540"/>
      <c r="I85" s="540"/>
      <c r="J85" s="540"/>
      <c r="K85" s="541"/>
      <c r="L85" s="542"/>
      <c r="M85" s="543"/>
      <c r="N85" s="1154"/>
      <c r="O85" s="1154"/>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5"/>
      <c r="O86" s="1155"/>
      <c r="P86" s="2687"/>
      <c r="Q86" s="505"/>
    </row>
    <row r="87" spans="1:17" s="117" customFormat="1" ht="27.75" thickTop="1">
      <c r="A87" s="580"/>
      <c r="B87" s="539" t="s">
        <v>2696</v>
      </c>
      <c r="C87" s="555"/>
      <c r="D87" s="555"/>
      <c r="E87" s="555"/>
      <c r="F87" s="555"/>
      <c r="G87" s="555"/>
      <c r="H87" s="555"/>
      <c r="I87" s="555"/>
      <c r="J87" s="555"/>
      <c r="K87" s="555"/>
      <c r="L87" s="581"/>
      <c r="M87" s="582"/>
      <c r="N87" s="1153"/>
      <c r="O87" s="1153"/>
      <c r="P87" s="2687"/>
      <c r="Q87" s="505"/>
    </row>
    <row r="88" spans="1:17" s="117" customFormat="1" ht="15.75" thickBot="1">
      <c r="A88" s="580"/>
      <c r="B88" s="544"/>
      <c r="C88" s="583">
        <v>100</v>
      </c>
      <c r="D88" s="545">
        <f t="shared" ref="D88:M88" si="16">C88-$K25</f>
        <v>100</v>
      </c>
      <c r="E88" s="545">
        <f t="shared" si="16"/>
        <v>100</v>
      </c>
      <c r="F88" s="545">
        <f t="shared" si="16"/>
        <v>100</v>
      </c>
      <c r="G88" s="545">
        <f t="shared" si="16"/>
        <v>100</v>
      </c>
      <c r="H88" s="545">
        <f t="shared" si="16"/>
        <v>100</v>
      </c>
      <c r="I88" s="545">
        <f t="shared" si="16"/>
        <v>100</v>
      </c>
      <c r="J88" s="545">
        <f t="shared" si="16"/>
        <v>100</v>
      </c>
      <c r="K88" s="545">
        <f t="shared" si="16"/>
        <v>100</v>
      </c>
      <c r="L88" s="545">
        <f t="shared" si="16"/>
        <v>100</v>
      </c>
      <c r="M88" s="545">
        <f t="shared" si="16"/>
        <v>100</v>
      </c>
      <c r="N88" s="1155"/>
      <c r="O88" s="1155"/>
      <c r="P88" s="2687"/>
      <c r="Q88" s="505"/>
    </row>
    <row r="89" spans="1:17" s="117" customFormat="1" ht="15.75" thickTop="1">
      <c r="A89" s="580"/>
      <c r="B89" s="539" t="str">
        <f>B27</f>
        <v>楼层</v>
      </c>
      <c r="C89" s="555"/>
      <c r="D89" s="555"/>
      <c r="E89" s="555"/>
      <c r="F89" s="2638"/>
      <c r="G89" s="555"/>
      <c r="H89" s="555"/>
      <c r="I89" s="555"/>
      <c r="J89" s="555"/>
      <c r="K89" s="555"/>
      <c r="L89" s="555"/>
      <c r="M89" s="582"/>
      <c r="N89" s="1153"/>
      <c r="O89" s="1153"/>
      <c r="P89" s="2687"/>
      <c r="Q89" s="505"/>
    </row>
    <row r="90" spans="1:17" s="117" customFormat="1" ht="15.75" thickBot="1">
      <c r="A90" s="580"/>
      <c r="B90" s="544"/>
      <c r="C90" s="583">
        <v>100</v>
      </c>
      <c r="D90" s="545">
        <f>C90-$K27</f>
        <v>100</v>
      </c>
      <c r="E90" s="545">
        <f t="shared" ref="E90:M90" si="17">D90-$K27</f>
        <v>100</v>
      </c>
      <c r="F90" s="545">
        <f t="shared" si="17"/>
        <v>100</v>
      </c>
      <c r="G90" s="545">
        <f t="shared" si="17"/>
        <v>100</v>
      </c>
      <c r="H90" s="545">
        <f t="shared" si="17"/>
        <v>100</v>
      </c>
      <c r="I90" s="545">
        <f t="shared" si="17"/>
        <v>100</v>
      </c>
      <c r="J90" s="545">
        <f t="shared" si="17"/>
        <v>100</v>
      </c>
      <c r="K90" s="545">
        <f t="shared" si="17"/>
        <v>100</v>
      </c>
      <c r="L90" s="545">
        <f t="shared" si="17"/>
        <v>100</v>
      </c>
      <c r="M90" s="545">
        <f t="shared" si="17"/>
        <v>100</v>
      </c>
      <c r="N90" s="1155"/>
      <c r="O90" s="1155"/>
      <c r="P90" s="2687"/>
      <c r="Q90" s="505"/>
    </row>
    <row r="91" spans="1:17" s="472" customFormat="1" ht="15.75" thickTop="1">
      <c r="A91" s="554"/>
      <c r="B91" s="539" t="str">
        <f>B28</f>
        <v>朝向</v>
      </c>
      <c r="C91" s="555"/>
      <c r="D91" s="555"/>
      <c r="E91" s="555"/>
      <c r="F91" s="555"/>
      <c r="G91" s="555"/>
      <c r="H91" s="556"/>
      <c r="I91" s="556"/>
      <c r="J91" s="556"/>
      <c r="K91" s="556"/>
      <c r="L91" s="557"/>
      <c r="M91" s="558"/>
      <c r="N91" s="1156"/>
      <c r="O91" s="1156"/>
      <c r="P91" s="2688"/>
      <c r="Q91" s="560"/>
    </row>
    <row r="92" spans="1:17" s="472" customFormat="1" ht="15.75" thickBot="1">
      <c r="A92" s="554"/>
      <c r="B92" s="544"/>
      <c r="C92" s="583">
        <v>100</v>
      </c>
      <c r="D92" s="545">
        <f t="shared" ref="D92:M92" si="18">C92-$K28</f>
        <v>100</v>
      </c>
      <c r="E92" s="545">
        <f t="shared" si="18"/>
        <v>100</v>
      </c>
      <c r="F92" s="545">
        <f t="shared" si="18"/>
        <v>100</v>
      </c>
      <c r="G92" s="545">
        <f t="shared" si="18"/>
        <v>100</v>
      </c>
      <c r="H92" s="545">
        <f t="shared" si="18"/>
        <v>100</v>
      </c>
      <c r="I92" s="545">
        <f t="shared" si="18"/>
        <v>100</v>
      </c>
      <c r="J92" s="545">
        <f t="shared" si="18"/>
        <v>100</v>
      </c>
      <c r="K92" s="545">
        <f t="shared" si="18"/>
        <v>100</v>
      </c>
      <c r="L92" s="545">
        <f t="shared" si="18"/>
        <v>100</v>
      </c>
      <c r="M92" s="545">
        <f t="shared" si="18"/>
        <v>100</v>
      </c>
      <c r="N92" s="1156"/>
      <c r="O92" s="1156"/>
      <c r="P92" s="2688"/>
      <c r="Q92" s="560"/>
    </row>
    <row r="93" spans="1:17" ht="15.75" thickTop="1">
      <c r="A93" s="535"/>
      <c r="B93" s="539">
        <f>B29</f>
        <v>111</v>
      </c>
      <c r="C93" s="555"/>
      <c r="D93" s="555"/>
      <c r="E93" s="555"/>
      <c r="F93" s="555"/>
      <c r="G93" s="555"/>
      <c r="H93" s="555"/>
      <c r="I93" s="555"/>
      <c r="J93" s="555"/>
      <c r="K93" s="555"/>
      <c r="L93" s="581"/>
      <c r="M93" s="582"/>
      <c r="N93" s="1154"/>
      <c r="O93" s="1154"/>
      <c r="P93" s="2687"/>
      <c r="Q93" s="505"/>
    </row>
    <row r="94" spans="1:17" ht="15.75" thickBot="1">
      <c r="A94" s="535"/>
      <c r="B94" s="544"/>
      <c r="C94" s="561"/>
      <c r="D94" s="537"/>
      <c r="E94" s="537"/>
      <c r="F94" s="537"/>
      <c r="G94" s="537"/>
      <c r="H94" s="537"/>
      <c r="I94" s="537"/>
      <c r="J94" s="537"/>
      <c r="K94" s="537"/>
      <c r="L94" s="537"/>
      <c r="M94" s="538"/>
      <c r="N94" s="1155"/>
      <c r="O94" s="1155"/>
      <c r="P94" s="2687"/>
      <c r="Q94" s="505"/>
    </row>
    <row r="95" spans="1:17" ht="15.75" thickTop="1">
      <c r="A95" s="535"/>
      <c r="B95" s="539">
        <f>B30</f>
        <v>111</v>
      </c>
      <c r="C95" s="555"/>
      <c r="D95" s="555"/>
      <c r="E95" s="555"/>
      <c r="F95" s="555"/>
      <c r="G95" s="584"/>
      <c r="H95" s="584"/>
      <c r="I95" s="584"/>
      <c r="J95" s="584"/>
      <c r="K95" s="585"/>
      <c r="L95" s="586"/>
      <c r="M95" s="587"/>
      <c r="N95" s="1154"/>
      <c r="O95" s="1154"/>
      <c r="P95" s="2687"/>
      <c r="Q95" s="505"/>
    </row>
    <row r="96" spans="1:17" ht="15.75" thickBot="1">
      <c r="A96" s="535"/>
      <c r="B96" s="544"/>
      <c r="C96" s="561"/>
      <c r="D96" s="561"/>
      <c r="E96" s="561"/>
      <c r="F96" s="561"/>
      <c r="G96" s="537"/>
      <c r="H96" s="537"/>
      <c r="I96" s="537"/>
      <c r="J96" s="537"/>
      <c r="K96" s="537"/>
      <c r="L96" s="537"/>
      <c r="M96" s="538"/>
      <c r="N96" s="1155"/>
      <c r="O96" s="1155"/>
      <c r="P96" s="2687"/>
      <c r="Q96" s="505"/>
    </row>
    <row r="97" spans="1:17" ht="15.75" thickTop="1">
      <c r="A97" s="535"/>
      <c r="B97" s="539">
        <f>B31</f>
        <v>111</v>
      </c>
      <c r="C97" s="555"/>
      <c r="D97" s="555"/>
      <c r="E97" s="555"/>
      <c r="F97" s="555"/>
      <c r="G97" s="584"/>
      <c r="H97" s="584"/>
      <c r="I97" s="584"/>
      <c r="J97" s="584"/>
      <c r="K97" s="585"/>
      <c r="L97" s="586"/>
      <c r="M97" s="587"/>
      <c r="N97" s="1154"/>
      <c r="O97" s="1154"/>
      <c r="P97" s="2687"/>
      <c r="Q97" s="505"/>
    </row>
    <row r="98" spans="1:17" ht="15.75" thickBot="1">
      <c r="A98" s="535"/>
      <c r="B98" s="544"/>
      <c r="C98" s="561"/>
      <c r="D98" s="537"/>
      <c r="E98" s="537"/>
      <c r="F98" s="537"/>
      <c r="G98" s="537"/>
      <c r="H98" s="537"/>
      <c r="I98" s="537"/>
      <c r="J98" s="537"/>
      <c r="K98" s="537"/>
      <c r="L98" s="537"/>
      <c r="M98" s="538"/>
      <c r="N98" s="1155"/>
      <c r="O98" s="1155"/>
      <c r="P98" s="2687"/>
      <c r="Q98" s="505"/>
    </row>
    <row r="99" spans="1:17" ht="15.75" thickTop="1">
      <c r="A99" s="535"/>
      <c r="B99" s="547">
        <f>B32</f>
        <v>111</v>
      </c>
      <c r="C99" s="524"/>
      <c r="D99" s="524"/>
      <c r="E99" s="524"/>
      <c r="F99" s="524"/>
      <c r="G99" s="588"/>
      <c r="H99" s="588"/>
      <c r="I99" s="588"/>
      <c r="J99" s="588"/>
      <c r="K99" s="589"/>
      <c r="L99" s="590"/>
      <c r="M99" s="591"/>
      <c r="N99" s="1154"/>
      <c r="O99" s="1154"/>
      <c r="P99" s="2687"/>
      <c r="Q99" s="505"/>
    </row>
    <row r="100" spans="1:17" ht="15.75" thickBot="1">
      <c r="A100" s="2639"/>
      <c r="B100" s="570"/>
      <c r="C100" s="571"/>
      <c r="D100" s="571"/>
      <c r="E100" s="571"/>
      <c r="F100" s="571"/>
      <c r="G100" s="592"/>
      <c r="H100" s="592"/>
      <c r="I100" s="592"/>
      <c r="J100" s="592"/>
      <c r="K100" s="592"/>
      <c r="L100" s="592"/>
      <c r="M100" s="593"/>
      <c r="N100" s="1155"/>
      <c r="O100" s="1155"/>
      <c r="P100" s="2687"/>
      <c r="Q100" s="505"/>
    </row>
    <row r="101" spans="1:17">
      <c r="A101" s="528" t="s">
        <v>2561</v>
      </c>
      <c r="B101" s="529" t="s">
        <v>2609</v>
      </c>
      <c r="C101" s="531"/>
      <c r="D101" s="531"/>
      <c r="E101" s="531"/>
      <c r="F101" s="531"/>
      <c r="G101" s="531"/>
      <c r="H101" s="531"/>
      <c r="I101" s="531"/>
      <c r="J101" s="531"/>
      <c r="K101" s="532"/>
      <c r="L101" s="533"/>
      <c r="M101" s="534"/>
      <c r="N101" s="1154"/>
      <c r="O101" s="1154"/>
      <c r="P101" s="2687"/>
      <c r="Q101" s="505"/>
    </row>
    <row r="102" spans="1:17" ht="15.75" thickBot="1">
      <c r="A102" s="535"/>
      <c r="B102" s="544"/>
      <c r="C102" s="545">
        <v>100</v>
      </c>
      <c r="D102" s="545">
        <f t="shared" ref="D102:M102" si="19">C102-$K33</f>
        <v>100</v>
      </c>
      <c r="E102" s="545">
        <f t="shared" si="19"/>
        <v>100</v>
      </c>
      <c r="F102" s="545">
        <f t="shared" si="19"/>
        <v>100</v>
      </c>
      <c r="G102" s="545">
        <f t="shared" si="19"/>
        <v>100</v>
      </c>
      <c r="H102" s="545">
        <f t="shared" si="19"/>
        <v>100</v>
      </c>
      <c r="I102" s="545">
        <f t="shared" si="19"/>
        <v>100</v>
      </c>
      <c r="J102" s="545">
        <f t="shared" si="19"/>
        <v>100</v>
      </c>
      <c r="K102" s="545">
        <f t="shared" si="19"/>
        <v>100</v>
      </c>
      <c r="L102" s="545">
        <f t="shared" si="19"/>
        <v>100</v>
      </c>
      <c r="M102" s="546">
        <f t="shared" si="19"/>
        <v>100</v>
      </c>
      <c r="N102" s="1155"/>
      <c r="O102" s="1155"/>
      <c r="P102" s="2687"/>
      <c r="Q102" s="505"/>
    </row>
    <row r="103" spans="1:17" ht="15.75" thickTop="1">
      <c r="A103" s="535"/>
      <c r="B103" s="539" t="s">
        <v>2610</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623" t="str">
        <f>M104&amp;"(含)"&amp;"-"&amp;P104</f>
        <v>(含)-</v>
      </c>
      <c r="N103" s="1153"/>
      <c r="O103" s="1153"/>
      <c r="P103" s="2687"/>
      <c r="Q103" s="505"/>
    </row>
    <row r="104" spans="1:17" s="472" customFormat="1">
      <c r="A104" s="594"/>
      <c r="B104" s="595"/>
      <c r="C104" s="596"/>
      <c r="D104" s="596"/>
      <c r="E104" s="596"/>
      <c r="F104" s="596"/>
      <c r="G104" s="596"/>
      <c r="H104" s="596"/>
      <c r="I104" s="596"/>
      <c r="J104" s="597"/>
      <c r="K104" s="597"/>
      <c r="L104" s="598"/>
      <c r="M104" s="599"/>
      <c r="N104" s="1156"/>
      <c r="O104" s="1156"/>
      <c r="P104" s="2688"/>
      <c r="Q104" s="560"/>
    </row>
    <row r="105" spans="1:17" s="472" customFormat="1" ht="15.75" thickBot="1">
      <c r="A105" s="554"/>
      <c r="B105" s="544"/>
      <c r="C105" s="561"/>
      <c r="D105" s="537"/>
      <c r="E105" s="537"/>
      <c r="F105" s="537"/>
      <c r="G105" s="537"/>
      <c r="H105" s="537"/>
      <c r="I105" s="537"/>
      <c r="J105" s="537"/>
      <c r="K105" s="537"/>
      <c r="L105" s="537"/>
      <c r="M105" s="538"/>
      <c r="N105" s="1155"/>
      <c r="O105" s="1155"/>
      <c r="P105" s="2688"/>
      <c r="Q105" s="560"/>
    </row>
    <row r="106" spans="1:17" ht="15" thickTop="1">
      <c r="A106" s="600"/>
      <c r="B106" s="539" t="s">
        <v>2611</v>
      </c>
      <c r="C106" s="555"/>
      <c r="D106" s="555"/>
      <c r="E106" s="584"/>
      <c r="F106" s="584"/>
      <c r="G106" s="584"/>
      <c r="H106" s="584"/>
      <c r="I106" s="584"/>
      <c r="J106" s="584"/>
      <c r="K106" s="585"/>
      <c r="L106" s="586"/>
      <c r="M106" s="587"/>
      <c r="N106" s="1154"/>
      <c r="O106" s="1154"/>
      <c r="P106" s="2687"/>
      <c r="Q106" s="505"/>
    </row>
    <row r="107" spans="1:17" ht="15.75" thickBot="1">
      <c r="A107" s="535"/>
      <c r="B107" s="544"/>
      <c r="C107" s="545">
        <v>100</v>
      </c>
      <c r="D107" s="545">
        <f t="shared" ref="D107:M107" si="21">C107-$K35</f>
        <v>100</v>
      </c>
      <c r="E107" s="545">
        <f t="shared" si="21"/>
        <v>100</v>
      </c>
      <c r="F107" s="545">
        <f t="shared" si="21"/>
        <v>100</v>
      </c>
      <c r="G107" s="545">
        <f t="shared" si="21"/>
        <v>100</v>
      </c>
      <c r="H107" s="545">
        <f t="shared" si="21"/>
        <v>100</v>
      </c>
      <c r="I107" s="545">
        <f t="shared" si="21"/>
        <v>100</v>
      </c>
      <c r="J107" s="545">
        <f t="shared" si="21"/>
        <v>100</v>
      </c>
      <c r="K107" s="545">
        <f t="shared" si="21"/>
        <v>100</v>
      </c>
      <c r="L107" s="545">
        <f t="shared" si="21"/>
        <v>100</v>
      </c>
      <c r="M107" s="546">
        <f t="shared" si="21"/>
        <v>100</v>
      </c>
      <c r="N107" s="1155"/>
      <c r="O107" s="1155"/>
      <c r="P107" s="2687"/>
      <c r="Q107" s="505"/>
    </row>
    <row r="108" spans="1:17" ht="15" thickTop="1">
      <c r="A108" s="600"/>
      <c r="B108" s="539" t="s">
        <v>2613</v>
      </c>
      <c r="C108" s="555"/>
      <c r="D108" s="555"/>
      <c r="E108" s="555"/>
      <c r="F108" s="584"/>
      <c r="G108" s="584"/>
      <c r="H108" s="584"/>
      <c r="I108" s="584"/>
      <c r="J108" s="584"/>
      <c r="K108" s="585"/>
      <c r="L108" s="586"/>
      <c r="M108" s="587"/>
      <c r="N108" s="1154"/>
      <c r="O108" s="1154"/>
      <c r="P108" s="2687"/>
      <c r="Q108" s="505"/>
    </row>
    <row r="109" spans="1:17" ht="15.75" thickBot="1">
      <c r="A109" s="535"/>
      <c r="B109" s="544"/>
      <c r="C109" s="545">
        <v>100</v>
      </c>
      <c r="D109" s="545">
        <f t="shared" ref="D109:M109" si="22">C109-$K36</f>
        <v>100</v>
      </c>
      <c r="E109" s="545">
        <f t="shared" si="22"/>
        <v>100</v>
      </c>
      <c r="F109" s="545">
        <f t="shared" si="22"/>
        <v>100</v>
      </c>
      <c r="G109" s="545">
        <f t="shared" si="22"/>
        <v>100</v>
      </c>
      <c r="H109" s="545">
        <f t="shared" si="22"/>
        <v>100</v>
      </c>
      <c r="I109" s="545">
        <f t="shared" si="22"/>
        <v>100</v>
      </c>
      <c r="J109" s="545">
        <f t="shared" si="22"/>
        <v>100</v>
      </c>
      <c r="K109" s="545">
        <f t="shared" si="22"/>
        <v>100</v>
      </c>
      <c r="L109" s="545">
        <f t="shared" si="22"/>
        <v>100</v>
      </c>
      <c r="M109" s="546">
        <f t="shared" si="22"/>
        <v>100</v>
      </c>
      <c r="N109" s="1155"/>
      <c r="O109" s="1155"/>
      <c r="P109" s="2687"/>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4"/>
      <c r="O110" s="1154"/>
      <c r="P110" s="2687"/>
      <c r="Q110" s="505"/>
    </row>
    <row r="111" spans="1:17">
      <c r="A111" s="600"/>
      <c r="B111" s="547"/>
      <c r="C111" s="604">
        <v>0.5</v>
      </c>
      <c r="D111" s="604">
        <v>0.6</v>
      </c>
      <c r="E111" s="604">
        <v>0.7</v>
      </c>
      <c r="F111" s="604">
        <v>0.8</v>
      </c>
      <c r="G111" s="604">
        <v>0.9</v>
      </c>
      <c r="H111" s="604">
        <v>1.0001</v>
      </c>
      <c r="I111" s="624"/>
      <c r="J111" s="624"/>
      <c r="K111" s="625"/>
      <c r="L111" s="626"/>
      <c r="M111" s="627"/>
      <c r="N111" s="1154"/>
      <c r="O111" s="1154"/>
      <c r="P111" s="2687"/>
      <c r="Q111" s="505"/>
    </row>
    <row r="112" spans="1:17" ht="15.75" thickBot="1">
      <c r="A112" s="535"/>
      <c r="B112" s="544"/>
      <c r="C112" s="583">
        <v>100</v>
      </c>
      <c r="D112" s="545">
        <f>C112+$K37</f>
        <v>100</v>
      </c>
      <c r="E112" s="545">
        <f t="shared" ref="E112:M112" si="23">D112+$K37</f>
        <v>100</v>
      </c>
      <c r="F112" s="545">
        <f t="shared" si="23"/>
        <v>100</v>
      </c>
      <c r="G112" s="545">
        <f t="shared" si="23"/>
        <v>100</v>
      </c>
      <c r="H112" s="545">
        <f t="shared" si="23"/>
        <v>100</v>
      </c>
      <c r="I112" s="545">
        <f t="shared" si="23"/>
        <v>100</v>
      </c>
      <c r="J112" s="545">
        <f t="shared" si="23"/>
        <v>100</v>
      </c>
      <c r="K112" s="545">
        <f t="shared" si="23"/>
        <v>100</v>
      </c>
      <c r="L112" s="545">
        <f t="shared" si="23"/>
        <v>100</v>
      </c>
      <c r="M112" s="545">
        <f t="shared" si="23"/>
        <v>100</v>
      </c>
      <c r="N112" s="1155"/>
      <c r="O112" s="1155"/>
      <c r="P112" s="2687"/>
      <c r="Q112" s="505"/>
    </row>
    <row r="113" spans="1:17" s="472" customFormat="1" ht="15" thickTop="1">
      <c r="A113" s="594"/>
      <c r="B113" s="539" t="s">
        <v>2697</v>
      </c>
      <c r="C113" s="555"/>
      <c r="D113" s="555"/>
      <c r="E113" s="555"/>
      <c r="F113" s="555"/>
      <c r="G113" s="555"/>
      <c r="H113" s="584"/>
      <c r="I113" s="584"/>
      <c r="J113" s="584"/>
      <c r="K113" s="585"/>
      <c r="L113" s="586"/>
      <c r="M113" s="587"/>
      <c r="N113" s="1156"/>
      <c r="O113" s="1156"/>
      <c r="P113" s="2688"/>
      <c r="Q113" s="560"/>
    </row>
    <row r="114" spans="1:17" s="472" customFormat="1" ht="15.75" thickBot="1">
      <c r="A114" s="554"/>
      <c r="B114" s="544"/>
      <c r="C114" s="545">
        <v>100</v>
      </c>
      <c r="D114" s="545">
        <f>C114-$K38</f>
        <v>100</v>
      </c>
      <c r="E114" s="545">
        <f t="shared" ref="E114:M114" si="24">D114-$K38</f>
        <v>100</v>
      </c>
      <c r="F114" s="545">
        <f t="shared" si="24"/>
        <v>100</v>
      </c>
      <c r="G114" s="545">
        <f t="shared" si="24"/>
        <v>100</v>
      </c>
      <c r="H114" s="545">
        <f t="shared" si="24"/>
        <v>100</v>
      </c>
      <c r="I114" s="545">
        <f t="shared" si="24"/>
        <v>100</v>
      </c>
      <c r="J114" s="545">
        <f t="shared" si="24"/>
        <v>100</v>
      </c>
      <c r="K114" s="545">
        <f t="shared" si="24"/>
        <v>100</v>
      </c>
      <c r="L114" s="545">
        <f t="shared" si="24"/>
        <v>100</v>
      </c>
      <c r="M114" s="545">
        <f t="shared" si="24"/>
        <v>100</v>
      </c>
      <c r="N114" s="1156"/>
      <c r="O114" s="1156"/>
      <c r="P114" s="2688"/>
      <c r="Q114" s="560"/>
    </row>
    <row r="115" spans="1:17" ht="15" thickTop="1">
      <c r="A115" s="600"/>
      <c r="B115" s="539" t="s">
        <v>2614</v>
      </c>
      <c r="C115" s="555"/>
      <c r="D115" s="555"/>
      <c r="E115" s="584"/>
      <c r="F115" s="584"/>
      <c r="G115" s="584"/>
      <c r="H115" s="584"/>
      <c r="I115" s="584"/>
      <c r="J115" s="584"/>
      <c r="K115" s="585"/>
      <c r="L115" s="586"/>
      <c r="M115" s="587"/>
      <c r="N115" s="1154"/>
      <c r="O115" s="1154"/>
      <c r="P115" s="2687"/>
      <c r="Q115" s="505"/>
    </row>
    <row r="116" spans="1:17" ht="15.75" thickBot="1">
      <c r="A116" s="535"/>
      <c r="B116" s="544"/>
      <c r="C116" s="545">
        <v>100</v>
      </c>
      <c r="D116" s="545">
        <f t="shared" ref="D116:M116" si="25">C116-$K39</f>
        <v>100</v>
      </c>
      <c r="E116" s="545">
        <f t="shared" si="25"/>
        <v>100</v>
      </c>
      <c r="F116" s="545">
        <f t="shared" si="25"/>
        <v>100</v>
      </c>
      <c r="G116" s="545">
        <f t="shared" si="25"/>
        <v>100</v>
      </c>
      <c r="H116" s="545">
        <f t="shared" si="25"/>
        <v>100</v>
      </c>
      <c r="I116" s="545">
        <f t="shared" si="25"/>
        <v>100</v>
      </c>
      <c r="J116" s="545">
        <f t="shared" si="25"/>
        <v>100</v>
      </c>
      <c r="K116" s="545">
        <f t="shared" si="25"/>
        <v>100</v>
      </c>
      <c r="L116" s="545">
        <f t="shared" si="25"/>
        <v>100</v>
      </c>
      <c r="M116" s="546">
        <f t="shared" si="25"/>
        <v>100</v>
      </c>
      <c r="N116" s="1155"/>
      <c r="O116" s="1155"/>
      <c r="P116" s="2687"/>
      <c r="Q116" s="505"/>
    </row>
    <row r="117" spans="1:17" ht="15" thickTop="1">
      <c r="A117" s="600"/>
      <c r="B117" s="539" t="s">
        <v>2615</v>
      </c>
      <c r="C117" s="555"/>
      <c r="D117" s="555"/>
      <c r="E117" s="555"/>
      <c r="F117" s="555"/>
      <c r="G117" s="555"/>
      <c r="H117" s="584"/>
      <c r="I117" s="584"/>
      <c r="J117" s="584"/>
      <c r="K117" s="585"/>
      <c r="L117" s="586"/>
      <c r="M117" s="587"/>
      <c r="N117" s="1154"/>
      <c r="O117" s="1154"/>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5"/>
      <c r="O118" s="1155"/>
      <c r="P118" s="2687"/>
      <c r="Q118" s="505"/>
    </row>
    <row r="119" spans="1:17" ht="15" thickTop="1">
      <c r="A119" s="600"/>
      <c r="B119" s="637" t="s">
        <v>2698</v>
      </c>
      <c r="C119" s="584"/>
      <c r="D119" s="584"/>
      <c r="E119" s="584"/>
      <c r="F119" s="584"/>
      <c r="G119" s="584"/>
      <c r="H119" s="584"/>
      <c r="I119" s="584"/>
      <c r="J119" s="584"/>
      <c r="K119" s="584"/>
      <c r="L119" s="2692"/>
      <c r="M119" s="2693"/>
      <c r="N119" s="1155"/>
      <c r="O119" s="1155"/>
      <c r="P119" s="2694"/>
      <c r="Q119" s="639"/>
    </row>
    <row r="120" spans="1:17" ht="15.75" thickBot="1">
      <c r="A120" s="535"/>
      <c r="B120" s="544"/>
      <c r="C120" s="583">
        <v>100</v>
      </c>
      <c r="D120" s="545">
        <f>C120-$K41</f>
        <v>100</v>
      </c>
      <c r="E120" s="545">
        <f t="shared" ref="E120:M120" si="26">D120-$K41</f>
        <v>100</v>
      </c>
      <c r="F120" s="545">
        <f t="shared" si="26"/>
        <v>100</v>
      </c>
      <c r="G120" s="545">
        <f t="shared" si="26"/>
        <v>100</v>
      </c>
      <c r="H120" s="545">
        <f t="shared" si="26"/>
        <v>100</v>
      </c>
      <c r="I120" s="545">
        <f t="shared" si="26"/>
        <v>100</v>
      </c>
      <c r="J120" s="545">
        <f t="shared" si="26"/>
        <v>100</v>
      </c>
      <c r="K120" s="545">
        <f t="shared" si="26"/>
        <v>100</v>
      </c>
      <c r="L120" s="545">
        <f t="shared" si="26"/>
        <v>100</v>
      </c>
      <c r="M120" s="545">
        <f t="shared" si="26"/>
        <v>100</v>
      </c>
      <c r="N120" s="1155"/>
      <c r="O120" s="1155"/>
      <c r="P120" s="2687"/>
      <c r="Q120" s="505"/>
    </row>
    <row r="121" spans="1:17" s="472" customFormat="1" ht="15" thickTop="1">
      <c r="A121" s="594"/>
      <c r="B121" s="539" t="s">
        <v>2681</v>
      </c>
      <c r="C121" s="555"/>
      <c r="D121" s="555"/>
      <c r="E121" s="555"/>
      <c r="F121" s="584"/>
      <c r="G121" s="556"/>
      <c r="H121" s="556"/>
      <c r="I121" s="556"/>
      <c r="J121" s="556"/>
      <c r="K121" s="556"/>
      <c r="L121" s="557"/>
      <c r="M121" s="558"/>
      <c r="N121" s="1156"/>
      <c r="O121" s="1156"/>
      <c r="P121" s="2688"/>
      <c r="Q121" s="560"/>
    </row>
    <row r="122" spans="1:17" s="472" customFormat="1" ht="15.75" thickBot="1">
      <c r="A122" s="554"/>
      <c r="B122" s="536"/>
      <c r="C122" s="561"/>
      <c r="D122" s="561"/>
      <c r="E122" s="561"/>
      <c r="F122" s="561"/>
      <c r="G122" s="561"/>
      <c r="H122" s="561"/>
      <c r="I122" s="561"/>
      <c r="J122" s="561"/>
      <c r="K122" s="561"/>
      <c r="L122" s="561"/>
      <c r="M122" s="561"/>
      <c r="N122" s="1156"/>
      <c r="O122" s="1156"/>
      <c r="P122" s="2688"/>
      <c r="Q122" s="560"/>
    </row>
    <row r="123" spans="1:17" ht="15" thickTop="1">
      <c r="A123" s="600"/>
      <c r="B123" s="539" t="s">
        <v>2617</v>
      </c>
      <c r="C123" s="555"/>
      <c r="D123" s="555"/>
      <c r="E123" s="555"/>
      <c r="F123" s="584"/>
      <c r="G123" s="584"/>
      <c r="H123" s="584"/>
      <c r="I123" s="584"/>
      <c r="J123" s="584"/>
      <c r="K123" s="585"/>
      <c r="L123" s="586"/>
      <c r="M123" s="587"/>
      <c r="N123" s="1154"/>
      <c r="O123" s="1154"/>
      <c r="P123" s="2687"/>
      <c r="Q123" s="505"/>
    </row>
    <row r="124" spans="1:17" ht="15.75" thickBot="1">
      <c r="A124" s="535"/>
      <c r="B124" s="544"/>
      <c r="C124" s="545">
        <v>100</v>
      </c>
      <c r="D124" s="545">
        <f t="shared" ref="D124:M124" si="27">C124-$K43</f>
        <v>100</v>
      </c>
      <c r="E124" s="545">
        <f t="shared" si="27"/>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5"/>
      <c r="O124" s="1155"/>
      <c r="P124" s="2687"/>
      <c r="Q124" s="505"/>
    </row>
    <row r="125" spans="1:17" ht="15" thickTop="1">
      <c r="A125" s="600"/>
      <c r="B125" s="539" t="s">
        <v>2618</v>
      </c>
      <c r="C125" s="579" t="s">
        <v>2594</v>
      </c>
      <c r="D125" s="579" t="s">
        <v>2595</v>
      </c>
      <c r="E125" s="579" t="s">
        <v>2596</v>
      </c>
      <c r="F125" s="579" t="s">
        <v>2597</v>
      </c>
      <c r="G125" s="579" t="s">
        <v>2598</v>
      </c>
      <c r="H125" s="540"/>
      <c r="I125" s="540"/>
      <c r="J125" s="540"/>
      <c r="K125" s="541"/>
      <c r="L125" s="542"/>
      <c r="M125" s="543"/>
      <c r="N125" s="1154"/>
      <c r="O125" s="1154"/>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5"/>
      <c r="O126" s="1155"/>
      <c r="P126" s="2687"/>
      <c r="Q126" s="505"/>
    </row>
    <row r="127" spans="1:17" s="472" customFormat="1" ht="15" thickTop="1">
      <c r="A127" s="594"/>
      <c r="B127" s="539">
        <f>B45</f>
        <v>111</v>
      </c>
      <c r="C127" s="555"/>
      <c r="D127" s="555"/>
      <c r="E127" s="555"/>
      <c r="F127" s="555"/>
      <c r="G127" s="555"/>
      <c r="H127" s="556"/>
      <c r="I127" s="556"/>
      <c r="J127" s="556"/>
      <c r="K127" s="556"/>
      <c r="L127" s="557"/>
      <c r="M127" s="558"/>
      <c r="N127" s="1156"/>
      <c r="O127" s="1156"/>
      <c r="P127" s="2688"/>
      <c r="Q127" s="560"/>
    </row>
    <row r="128" spans="1:17" s="472" customFormat="1" ht="15.75" thickBot="1">
      <c r="A128" s="554"/>
      <c r="B128" s="544"/>
      <c r="C128" s="561"/>
      <c r="D128" s="537"/>
      <c r="E128" s="537"/>
      <c r="F128" s="537"/>
      <c r="G128" s="561"/>
      <c r="H128" s="563"/>
      <c r="I128" s="563"/>
      <c r="J128" s="563"/>
      <c r="K128" s="563"/>
      <c r="L128" s="563"/>
      <c r="M128" s="564"/>
      <c r="N128" s="1156"/>
      <c r="O128" s="1156"/>
      <c r="P128" s="2688"/>
      <c r="Q128" s="560"/>
    </row>
    <row r="129" spans="1:17" ht="15" thickTop="1">
      <c r="A129" s="600"/>
      <c r="B129" s="539">
        <f>B46</f>
        <v>111</v>
      </c>
      <c r="C129" s="555"/>
      <c r="D129" s="555"/>
      <c r="E129" s="555"/>
      <c r="F129" s="555"/>
      <c r="G129" s="584"/>
      <c r="H129" s="584"/>
      <c r="I129" s="584"/>
      <c r="J129" s="584"/>
      <c r="K129" s="585"/>
      <c r="L129" s="586"/>
      <c r="M129" s="587"/>
      <c r="N129" s="1154"/>
      <c r="O129" s="1154"/>
      <c r="P129" s="2687"/>
      <c r="Q129" s="505"/>
    </row>
    <row r="130" spans="1:17" ht="15.75" thickBot="1">
      <c r="A130" s="535"/>
      <c r="B130" s="544"/>
      <c r="C130" s="561"/>
      <c r="D130" s="561"/>
      <c r="E130" s="561"/>
      <c r="F130" s="561"/>
      <c r="G130" s="537"/>
      <c r="H130" s="537"/>
      <c r="I130" s="537"/>
      <c r="J130" s="537"/>
      <c r="K130" s="537"/>
      <c r="L130" s="537"/>
      <c r="M130" s="538"/>
      <c r="N130" s="1155"/>
      <c r="O130" s="1155"/>
      <c r="P130" s="2687"/>
      <c r="Q130" s="505"/>
    </row>
    <row r="131" spans="1:17" ht="15" thickTop="1">
      <c r="A131" s="600"/>
      <c r="B131" s="547">
        <f>B47</f>
        <v>111</v>
      </c>
      <c r="C131" s="524"/>
      <c r="D131" s="524"/>
      <c r="E131" s="524"/>
      <c r="F131" s="524"/>
      <c r="G131" s="588"/>
      <c r="H131" s="588"/>
      <c r="I131" s="588"/>
      <c r="J131" s="588"/>
      <c r="K131" s="524"/>
      <c r="L131" s="525"/>
      <c r="M131" s="591"/>
      <c r="N131" s="1154"/>
      <c r="O131" s="1154"/>
      <c r="P131" s="2687"/>
      <c r="Q131" s="505"/>
    </row>
    <row r="132" spans="1:17" ht="15.75" thickBot="1">
      <c r="A132" s="2639"/>
      <c r="B132" s="570"/>
      <c r="C132" s="571"/>
      <c r="D132" s="571"/>
      <c r="E132" s="571"/>
      <c r="F132" s="571"/>
      <c r="G132" s="592"/>
      <c r="H132" s="592"/>
      <c r="I132" s="592"/>
      <c r="J132" s="592"/>
      <c r="K132" s="592"/>
      <c r="L132" s="592"/>
      <c r="M132" s="593"/>
      <c r="N132" s="1155"/>
      <c r="O132" s="1155"/>
      <c r="P132" s="2687"/>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672" t="s">
        <v>2699</v>
      </c>
      <c r="C1" s="1623" t="s">
        <v>2528</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2325</v>
      </c>
      <c r="B2" s="1420" t="e">
        <f ca="1">IF(C2="——",ROUND(C43*D3/10000,0),ROUND(C43*D3/10000,0)-D2)</f>
        <v>#DIV/0!</v>
      </c>
      <c r="C2" s="2589"/>
      <c r="D2" s="1126" t="e">
        <f ca="1">SUMIF(INDIRECT("'"&amp;F2&amp;"'"&amp;"!A:A"),"承租人权益价值",INDIRECT("'"&amp;F2&amp;"'"&amp;"!c:c"))</f>
        <v>#REF!</v>
      </c>
      <c r="E2" s="2590" t="s">
        <v>2326</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9" customFormat="1" ht="28.5" customHeight="1" thickBot="1">
      <c r="A3" s="248" t="s">
        <v>2327</v>
      </c>
      <c r="B3" s="610" t="e">
        <f ca="1">IF(C2="——",C43,ROUND(B2*10000/D3,0))</f>
        <v>#DIV/0!</v>
      </c>
      <c r="C3" s="401" t="s">
        <v>2641</v>
      </c>
      <c r="D3" s="400">
        <f>IF(D1="",'数据-汇总表'!E3,SUMIF('数据-汇总表'!$C19:$C33,D1,'数据-汇总表'!$E19:$E33))</f>
        <v>88.84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2642</v>
      </c>
      <c r="B4" s="403"/>
      <c r="C4" s="3165" t="s">
        <v>2643</v>
      </c>
      <c r="D4" s="3166"/>
      <c r="E4" s="3167" t="s">
        <v>2644</v>
      </c>
      <c r="F4" s="3168"/>
      <c r="G4" s="3165" t="s">
        <v>2645</v>
      </c>
      <c r="H4" s="3166"/>
      <c r="I4" s="3165" t="s">
        <v>2646</v>
      </c>
      <c r="J4" s="3166"/>
      <c r="K4" s="611" t="s">
        <v>2647</v>
      </c>
      <c r="L4" s="1132"/>
      <c r="M4" s="1133"/>
      <c r="N4" s="1133"/>
      <c r="O4" s="1133"/>
      <c r="P4" s="3169" t="s">
        <v>2648</v>
      </c>
      <c r="Q4" s="3170"/>
      <c r="R4" s="3151" t="s">
        <v>2644</v>
      </c>
      <c r="S4" s="3152"/>
      <c r="T4" s="3151" t="s">
        <v>2645</v>
      </c>
      <c r="U4" s="3152"/>
      <c r="V4" s="3177" t="s">
        <v>2646</v>
      </c>
      <c r="W4" s="3177"/>
      <c r="X4" s="1816"/>
      <c r="Y4" s="3151" t="s">
        <v>2648</v>
      </c>
      <c r="Z4" s="3152"/>
      <c r="AA4" s="3146" t="s">
        <v>2644</v>
      </c>
      <c r="AB4" s="3147" t="s">
        <v>2645</v>
      </c>
      <c r="AC4" s="3146" t="s">
        <v>2646</v>
      </c>
    </row>
    <row r="5" spans="1:29" ht="15">
      <c r="A5" s="405"/>
      <c r="B5" s="406"/>
      <c r="C5" s="3157" t="s">
        <v>2540</v>
      </c>
      <c r="D5" s="3158"/>
      <c r="E5" s="3227" t="s">
        <v>2541</v>
      </c>
      <c r="F5" s="3156"/>
      <c r="G5" s="3157" t="s">
        <v>2542</v>
      </c>
      <c r="H5" s="3158"/>
      <c r="I5" s="3157" t="s">
        <v>2543</v>
      </c>
      <c r="J5" s="3158"/>
      <c r="K5" s="611"/>
      <c r="L5" s="1132"/>
      <c r="M5" s="1133"/>
      <c r="N5" s="1133"/>
      <c r="O5" s="1133"/>
      <c r="P5" s="3171"/>
      <c r="Q5" s="3172"/>
      <c r="R5" s="3153"/>
      <c r="S5" s="3154"/>
      <c r="T5" s="3153"/>
      <c r="U5" s="3154"/>
      <c r="V5" s="3177"/>
      <c r="W5" s="3177"/>
      <c r="X5" s="1816"/>
      <c r="Y5" s="3153"/>
      <c r="Z5" s="3154"/>
      <c r="AA5" s="3147"/>
      <c r="AB5" s="3147"/>
      <c r="AC5" s="3147"/>
    </row>
    <row r="6" spans="1:29" ht="15.75" thickBot="1">
      <c r="A6" s="407"/>
      <c r="B6" s="408"/>
      <c r="C6" s="3159" t="s">
        <v>2544</v>
      </c>
      <c r="D6" s="3160"/>
      <c r="E6" s="3162" t="s">
        <v>2544</v>
      </c>
      <c r="F6" s="3163"/>
      <c r="G6" s="3159" t="s">
        <v>2544</v>
      </c>
      <c r="H6" s="3160"/>
      <c r="I6" s="3159" t="s">
        <v>2544</v>
      </c>
      <c r="J6" s="3160"/>
      <c r="K6" s="611" t="s">
        <v>2545</v>
      </c>
      <c r="L6" s="1132"/>
      <c r="M6" s="1133"/>
      <c r="N6" s="1133"/>
      <c r="O6" s="1133"/>
      <c r="P6" s="3173"/>
      <c r="Q6" s="3174"/>
      <c r="R6" s="3153"/>
      <c r="S6" s="3154"/>
      <c r="T6" s="3175"/>
      <c r="U6" s="3176"/>
      <c r="V6" s="3177"/>
      <c r="W6" s="3177"/>
      <c r="X6" s="1816"/>
      <c r="Y6" s="3175"/>
      <c r="Z6" s="3176"/>
      <c r="AA6" s="3148"/>
      <c r="AB6" s="3148"/>
      <c r="AC6" s="3148"/>
    </row>
    <row r="7" spans="1:29" s="117" customFormat="1" ht="15.75" thickBot="1">
      <c r="A7" s="409" t="s">
        <v>2546</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4"/>
      <c r="M7" s="1135"/>
      <c r="N7" s="1135"/>
      <c r="O7" s="1135"/>
      <c r="P7" s="3149" t="s">
        <v>2547</v>
      </c>
      <c r="Q7" s="3178"/>
      <c r="R7" s="769" t="s">
        <v>17</v>
      </c>
      <c r="S7" s="770">
        <f t="shared" ref="S7:S15" si="0">F7</f>
        <v>0</v>
      </c>
      <c r="T7" s="769" t="s">
        <v>17</v>
      </c>
      <c r="U7" s="770">
        <f t="shared" ref="U7:U15" si="1">H7</f>
        <v>0</v>
      </c>
      <c r="V7" s="769" t="s">
        <v>17</v>
      </c>
      <c r="W7" s="770">
        <f t="shared" ref="W7:W15" si="2">J7</f>
        <v>0</v>
      </c>
      <c r="X7" s="771"/>
      <c r="Y7" s="3149" t="s">
        <v>2547</v>
      </c>
      <c r="Z7" s="3150"/>
      <c r="AA7" s="772" t="e">
        <f>D7/F7</f>
        <v>#DIV/0!</v>
      </c>
      <c r="AB7" s="772" t="e">
        <f>D7/H7</f>
        <v>#DIV/0!</v>
      </c>
      <c r="AC7" s="772"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4"/>
      <c r="M8" s="1135"/>
      <c r="N8" s="1135"/>
      <c r="O8" s="1135"/>
      <c r="P8" s="3149" t="s">
        <v>2550</v>
      </c>
      <c r="Q8" s="3150"/>
      <c r="R8" s="769" t="s">
        <v>17</v>
      </c>
      <c r="S8" s="770">
        <f t="shared" si="0"/>
        <v>0</v>
      </c>
      <c r="T8" s="769" t="s">
        <v>17</v>
      </c>
      <c r="U8" s="770">
        <f t="shared" si="1"/>
        <v>0</v>
      </c>
      <c r="V8" s="769" t="s">
        <v>17</v>
      </c>
      <c r="W8" s="770">
        <f t="shared" si="2"/>
        <v>0</v>
      </c>
      <c r="X8" s="771"/>
      <c r="Y8" s="3149" t="s">
        <v>2550</v>
      </c>
      <c r="Z8" s="3150"/>
      <c r="AA8" s="772" t="e">
        <f t="shared" ref="AA8:AA40" si="3">D8/F8</f>
        <v>#DIV/0!</v>
      </c>
      <c r="AB8" s="772" t="e">
        <f t="shared" ref="AB8:AB40" si="4">D8/H8</f>
        <v>#DIV/0!</v>
      </c>
      <c r="AC8" s="772"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4"/>
      <c r="M9" s="1135"/>
      <c r="N9" s="1135"/>
      <c r="O9" s="1136"/>
      <c r="P9" s="3182" t="s">
        <v>2553</v>
      </c>
      <c r="Q9" s="1798" t="str">
        <f t="shared" ref="Q9:Q15" si="6">B9</f>
        <v>用途</v>
      </c>
      <c r="R9" s="769" t="s">
        <v>17</v>
      </c>
      <c r="S9" s="770">
        <f t="shared" si="0"/>
        <v>100</v>
      </c>
      <c r="T9" s="769" t="s">
        <v>17</v>
      </c>
      <c r="U9" s="770">
        <f t="shared" si="1"/>
        <v>100</v>
      </c>
      <c r="V9" s="769" t="s">
        <v>17</v>
      </c>
      <c r="W9" s="770">
        <f t="shared" si="2"/>
        <v>100</v>
      </c>
      <c r="X9" s="771"/>
      <c r="Y9" s="3026" t="s">
        <v>2554</v>
      </c>
      <c r="Z9" s="55" t="str">
        <f t="shared" ref="Z9:Z15" si="7">Q9</f>
        <v>用途</v>
      </c>
      <c r="AA9" s="772">
        <f t="shared" si="3"/>
        <v>1</v>
      </c>
      <c r="AB9" s="772">
        <f t="shared" si="4"/>
        <v>1</v>
      </c>
      <c r="AC9" s="772">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7"/>
      <c r="M10" s="1138"/>
      <c r="N10" s="1138"/>
      <c r="O10" s="1139"/>
      <c r="P10" s="3182"/>
      <c r="Q10" s="1798"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772">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0"/>
      <c r="M11" s="1133"/>
      <c r="N11" s="1133"/>
      <c r="O11" s="1141"/>
      <c r="P11" s="3182"/>
      <c r="Q11" s="1798"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772"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4"/>
      <c r="M12" s="1135"/>
      <c r="N12" s="1135"/>
      <c r="O12" s="1136"/>
      <c r="P12" s="3182"/>
      <c r="Q12" s="1798">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2"/>
      <c r="M13" s="1133"/>
      <c r="N13" s="1133"/>
      <c r="O13" s="1141"/>
      <c r="P13" s="3182"/>
      <c r="Q13" s="1798">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2"/>
      <c r="M14" s="1133"/>
      <c r="N14" s="1133"/>
      <c r="O14" s="1141"/>
      <c r="P14" s="3182"/>
      <c r="Q14" s="1798">
        <f t="shared" si="6"/>
        <v>111</v>
      </c>
      <c r="R14" s="769" t="s">
        <v>17</v>
      </c>
      <c r="S14" s="770">
        <f t="shared" si="0"/>
        <v>100</v>
      </c>
      <c r="T14" s="769" t="s">
        <v>17</v>
      </c>
      <c r="U14" s="770">
        <f t="shared" si="1"/>
        <v>100</v>
      </c>
      <c r="V14" s="769" t="s">
        <v>17</v>
      </c>
      <c r="W14" s="770">
        <f t="shared" si="2"/>
        <v>100</v>
      </c>
      <c r="X14" s="771"/>
      <c r="Y14" s="3026"/>
      <c r="Z14" s="55">
        <f t="shared" si="7"/>
        <v>111</v>
      </c>
      <c r="AA14" s="772">
        <f t="shared" si="3"/>
        <v>1</v>
      </c>
      <c r="AB14" s="772">
        <f t="shared" si="4"/>
        <v>1</v>
      </c>
      <c r="AC14" s="772">
        <f t="shared" si="5"/>
        <v>1</v>
      </c>
    </row>
    <row r="15" spans="1:29" ht="57">
      <c r="A15" s="441" t="s">
        <v>2557</v>
      </c>
      <c r="B15" s="69" t="s">
        <v>2700</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2"/>
      <c r="M15" s="1133"/>
      <c r="N15" s="1133"/>
      <c r="O15" s="1141"/>
      <c r="P15" s="3184" t="s">
        <v>2558</v>
      </c>
      <c r="Q15" s="1813" t="str">
        <f t="shared" si="6"/>
        <v>产业集聚程度</v>
      </c>
      <c r="R15" s="773" t="s">
        <v>17</v>
      </c>
      <c r="S15" s="774">
        <f t="shared" si="0"/>
        <v>100</v>
      </c>
      <c r="T15" s="773" t="s">
        <v>17</v>
      </c>
      <c r="U15" s="774">
        <f t="shared" si="1"/>
        <v>100</v>
      </c>
      <c r="V15" s="773" t="s">
        <v>17</v>
      </c>
      <c r="W15" s="774">
        <f t="shared" si="2"/>
        <v>100</v>
      </c>
      <c r="X15" s="1816"/>
      <c r="Y15" s="3184" t="s">
        <v>2558</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2"/>
      <c r="M16" s="1133"/>
      <c r="N16" s="1133"/>
      <c r="O16" s="1141"/>
      <c r="P16" s="3185"/>
      <c r="Q16" s="1813"/>
      <c r="R16" s="773"/>
      <c r="S16" s="774"/>
      <c r="T16" s="773"/>
      <c r="U16" s="774"/>
      <c r="V16" s="773"/>
      <c r="W16" s="774"/>
      <c r="X16" s="1816"/>
      <c r="Y16" s="3185"/>
      <c r="Z16" s="1817"/>
      <c r="AA16" s="1814">
        <v>1</v>
      </c>
      <c r="AB16" s="1814">
        <v>1</v>
      </c>
      <c r="AC16" s="1814">
        <v>1</v>
      </c>
    </row>
    <row r="17" spans="1:29" ht="85.5">
      <c r="A17" s="429"/>
      <c r="B17" s="452" t="s">
        <v>2095</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2"/>
      <c r="M17" s="1133"/>
      <c r="N17" s="1133"/>
      <c r="O17" s="1141"/>
      <c r="P17" s="3185"/>
      <c r="Q17" s="1813" t="str">
        <f>B17</f>
        <v>交通便捷度</v>
      </c>
      <c r="R17" s="773" t="s">
        <v>17</v>
      </c>
      <c r="S17" s="774">
        <f>F17</f>
        <v>100</v>
      </c>
      <c r="T17" s="773" t="s">
        <v>17</v>
      </c>
      <c r="U17" s="774">
        <f>H17</f>
        <v>100</v>
      </c>
      <c r="V17" s="773" t="s">
        <v>17</v>
      </c>
      <c r="W17" s="774">
        <f>J17</f>
        <v>100</v>
      </c>
      <c r="X17" s="1816"/>
      <c r="Y17" s="3185"/>
      <c r="Z17" s="1817" t="str">
        <f>Q17</f>
        <v>交通便捷度</v>
      </c>
      <c r="AA17" s="1814">
        <f t="shared" si="3"/>
        <v>1</v>
      </c>
      <c r="AB17" s="1814">
        <f t="shared" si="4"/>
        <v>1</v>
      </c>
      <c r="AC17" s="1814">
        <f t="shared" si="5"/>
        <v>1</v>
      </c>
    </row>
    <row r="18" spans="1:29" ht="15">
      <c r="A18" s="429"/>
      <c r="B18" s="457"/>
      <c r="C18" s="2611"/>
      <c r="D18" s="451"/>
      <c r="E18" s="2613"/>
      <c r="F18" s="454"/>
      <c r="G18" s="2612"/>
      <c r="H18" s="449"/>
      <c r="I18" s="2613"/>
      <c r="J18" s="449"/>
      <c r="K18" s="616"/>
      <c r="L18" s="1142"/>
      <c r="M18" s="1133"/>
      <c r="N18" s="1133"/>
      <c r="O18" s="1141"/>
      <c r="P18" s="3185"/>
      <c r="Q18" s="1813"/>
      <c r="R18" s="773"/>
      <c r="S18" s="774"/>
      <c r="T18" s="773"/>
      <c r="U18" s="774"/>
      <c r="V18" s="773"/>
      <c r="W18" s="774"/>
      <c r="X18" s="1816"/>
      <c r="Y18" s="3185"/>
      <c r="Z18" s="1817"/>
      <c r="AA18" s="1814">
        <v>1</v>
      </c>
      <c r="AB18" s="1814">
        <v>1</v>
      </c>
      <c r="AC18" s="1814">
        <v>1</v>
      </c>
    </row>
    <row r="19" spans="1:29" ht="42.75">
      <c r="A19" s="429"/>
      <c r="B19" s="452" t="s">
        <v>2685</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2"/>
      <c r="M19" s="1133"/>
      <c r="N19" s="1133"/>
      <c r="O19" s="1141"/>
      <c r="P19" s="3185"/>
      <c r="Q19" s="1813" t="str">
        <f>B19</f>
        <v>公共配套设施</v>
      </c>
      <c r="R19" s="773" t="s">
        <v>17</v>
      </c>
      <c r="S19" s="774">
        <f>F19</f>
        <v>100</v>
      </c>
      <c r="T19" s="773" t="s">
        <v>17</v>
      </c>
      <c r="U19" s="774">
        <f>H19</f>
        <v>100</v>
      </c>
      <c r="V19" s="773" t="s">
        <v>17</v>
      </c>
      <c r="W19" s="774">
        <f>J19</f>
        <v>100</v>
      </c>
      <c r="X19" s="1816"/>
      <c r="Y19" s="3185"/>
      <c r="Z19" s="1817" t="str">
        <f>Q19</f>
        <v>公共配套设施</v>
      </c>
      <c r="AA19" s="1814">
        <f t="shared" si="3"/>
        <v>1</v>
      </c>
      <c r="AB19" s="1814">
        <f t="shared" si="4"/>
        <v>1</v>
      </c>
      <c r="AC19" s="1814">
        <f t="shared" si="5"/>
        <v>1</v>
      </c>
    </row>
    <row r="20" spans="1:29" ht="15">
      <c r="A20" s="429"/>
      <c r="B20" s="457"/>
      <c r="C20" s="448"/>
      <c r="D20" s="449"/>
      <c r="E20" s="2608"/>
      <c r="F20" s="450"/>
      <c r="G20" s="2607"/>
      <c r="H20" s="449"/>
      <c r="I20" s="2608"/>
      <c r="J20" s="449"/>
      <c r="K20" s="616"/>
      <c r="L20" s="1142"/>
      <c r="M20" s="1133"/>
      <c r="N20" s="1133"/>
      <c r="O20" s="1141"/>
      <c r="P20" s="3185"/>
      <c r="Q20" s="1813"/>
      <c r="R20" s="773"/>
      <c r="S20" s="774"/>
      <c r="T20" s="773"/>
      <c r="U20" s="774"/>
      <c r="V20" s="773"/>
      <c r="W20" s="774"/>
      <c r="X20" s="1816"/>
      <c r="Y20" s="3185"/>
      <c r="Z20" s="1817"/>
      <c r="AA20" s="1814">
        <v>1</v>
      </c>
      <c r="AB20" s="1814">
        <v>1</v>
      </c>
      <c r="AC20" s="1814">
        <v>1</v>
      </c>
    </row>
    <row r="21" spans="1:29" ht="28.5">
      <c r="A21" s="429"/>
      <c r="B21" s="1386" t="s">
        <v>2686</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2"/>
      <c r="M21" s="1133"/>
      <c r="N21" s="1133"/>
      <c r="O21" s="1141"/>
      <c r="P21" s="3185"/>
      <c r="Q21" s="1813" t="str">
        <f>B21</f>
        <v>基础设施水平</v>
      </c>
      <c r="R21" s="773" t="s">
        <v>17</v>
      </c>
      <c r="S21" s="774">
        <f>F21</f>
        <v>100</v>
      </c>
      <c r="T21" s="773" t="s">
        <v>17</v>
      </c>
      <c r="U21" s="774">
        <f>H21</f>
        <v>100</v>
      </c>
      <c r="V21" s="773" t="s">
        <v>17</v>
      </c>
      <c r="W21" s="774">
        <f>J21</f>
        <v>100</v>
      </c>
      <c r="X21" s="1816"/>
      <c r="Y21" s="3185"/>
      <c r="Z21" s="1817" t="str">
        <f>Q21</f>
        <v>基础设施水平</v>
      </c>
      <c r="AA21" s="1814">
        <f>D21/F21</f>
        <v>1</v>
      </c>
      <c r="AB21" s="1814">
        <f>D21/H21</f>
        <v>1</v>
      </c>
      <c r="AC21" s="1814">
        <f>D21/J21</f>
        <v>1</v>
      </c>
    </row>
    <row r="22" spans="1:29" ht="15">
      <c r="A22" s="429"/>
      <c r="B22" s="1386"/>
      <c r="C22" s="2611"/>
      <c r="D22" s="449"/>
      <c r="E22" s="448"/>
      <c r="F22" s="450"/>
      <c r="G22" s="448"/>
      <c r="H22" s="449"/>
      <c r="I22" s="448"/>
      <c r="J22" s="449"/>
      <c r="K22" s="1385"/>
      <c r="L22" s="1142"/>
      <c r="M22" s="1133"/>
      <c r="N22" s="1133"/>
      <c r="O22" s="1141"/>
      <c r="P22" s="3185"/>
      <c r="Q22" s="1813"/>
      <c r="R22" s="773"/>
      <c r="S22" s="774"/>
      <c r="T22" s="773"/>
      <c r="U22" s="774"/>
      <c r="V22" s="773"/>
      <c r="W22" s="774"/>
      <c r="X22" s="1816"/>
      <c r="Y22" s="3185"/>
      <c r="Z22" s="1817"/>
      <c r="AA22" s="1814">
        <v>1</v>
      </c>
      <c r="AB22" s="1814">
        <v>1</v>
      </c>
      <c r="AC22" s="1814">
        <v>1</v>
      </c>
    </row>
    <row r="23" spans="1:29" ht="71.25">
      <c r="A23" s="429"/>
      <c r="B23" s="452" t="s">
        <v>2687</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2"/>
      <c r="M23" s="1133"/>
      <c r="N23" s="1133"/>
      <c r="O23" s="1141"/>
      <c r="P23" s="3185"/>
      <c r="Q23" s="1813" t="str">
        <f>B23</f>
        <v>环境质量</v>
      </c>
      <c r="R23" s="773" t="s">
        <v>17</v>
      </c>
      <c r="S23" s="774">
        <f>F23</f>
        <v>100</v>
      </c>
      <c r="T23" s="773" t="s">
        <v>17</v>
      </c>
      <c r="U23" s="774">
        <f>H23</f>
        <v>100</v>
      </c>
      <c r="V23" s="773" t="s">
        <v>17</v>
      </c>
      <c r="W23" s="774">
        <f>J23</f>
        <v>100</v>
      </c>
      <c r="X23" s="1816"/>
      <c r="Y23" s="3185"/>
      <c r="Z23" s="1817" t="str">
        <f>Q23</f>
        <v>环境质量</v>
      </c>
      <c r="AA23" s="1814">
        <f t="shared" si="3"/>
        <v>1</v>
      </c>
      <c r="AB23" s="1814">
        <f t="shared" si="4"/>
        <v>1</v>
      </c>
      <c r="AC23" s="1814">
        <f t="shared" si="5"/>
        <v>1</v>
      </c>
    </row>
    <row r="24" spans="1:29" ht="15">
      <c r="A24" s="429"/>
      <c r="B24" s="1386"/>
      <c r="C24" s="448"/>
      <c r="D24" s="449"/>
      <c r="E24" s="2608"/>
      <c r="F24" s="450"/>
      <c r="G24" s="2607"/>
      <c r="H24" s="449"/>
      <c r="I24" s="2608"/>
      <c r="J24" s="449"/>
      <c r="K24" s="616"/>
      <c r="L24" s="1142"/>
      <c r="M24" s="1133"/>
      <c r="N24" s="1133"/>
      <c r="O24" s="1141"/>
      <c r="P24" s="3185"/>
      <c r="Q24" s="1813"/>
      <c r="R24" s="773"/>
      <c r="S24" s="774"/>
      <c r="T24" s="773"/>
      <c r="U24" s="774"/>
      <c r="V24" s="773"/>
      <c r="W24" s="774"/>
      <c r="X24" s="1816"/>
      <c r="Y24" s="3185"/>
      <c r="Z24" s="1817"/>
      <c r="AA24" s="1814">
        <v>1</v>
      </c>
      <c r="AB24" s="1814">
        <v>1</v>
      </c>
      <c r="AC24" s="1814">
        <v>1</v>
      </c>
    </row>
    <row r="25" spans="1:29" ht="15">
      <c r="A25" s="405"/>
      <c r="B25" s="1388">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2"/>
      <c r="M25" s="1133"/>
      <c r="N25" s="1133"/>
      <c r="O25" s="1141"/>
      <c r="P25" s="3185"/>
      <c r="Q25" s="1813">
        <f>B25</f>
        <v>111</v>
      </c>
      <c r="R25" s="773" t="s">
        <v>17</v>
      </c>
      <c r="S25" s="774">
        <f>F25</f>
        <v>100</v>
      </c>
      <c r="T25" s="773" t="s">
        <v>17</v>
      </c>
      <c r="U25" s="774">
        <f>H25</f>
        <v>100</v>
      </c>
      <c r="V25" s="773" t="s">
        <v>17</v>
      </c>
      <c r="W25" s="774">
        <f>J25</f>
        <v>100</v>
      </c>
      <c r="X25" s="1816"/>
      <c r="Y25" s="3185"/>
      <c r="Z25" s="1817">
        <f>Q25</f>
        <v>111</v>
      </c>
      <c r="AA25" s="1814">
        <f t="shared" si="3"/>
        <v>1</v>
      </c>
      <c r="AB25" s="1814">
        <f t="shared" si="4"/>
        <v>1</v>
      </c>
      <c r="AC25" s="1814">
        <f t="shared" si="5"/>
        <v>1</v>
      </c>
    </row>
    <row r="26" spans="1:29" ht="15">
      <c r="A26" s="429"/>
      <c r="B26" s="1388">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2"/>
      <c r="M26" s="1133"/>
      <c r="N26" s="1133"/>
      <c r="O26" s="1141"/>
      <c r="P26" s="3185"/>
      <c r="Q26" s="1813">
        <f t="shared" ref="Q26:Q40" si="8">B26</f>
        <v>111</v>
      </c>
      <c r="R26" s="773" t="s">
        <v>17</v>
      </c>
      <c r="S26" s="774">
        <f>F26</f>
        <v>100</v>
      </c>
      <c r="T26" s="773" t="s">
        <v>17</v>
      </c>
      <c r="U26" s="774">
        <f>H26</f>
        <v>100</v>
      </c>
      <c r="V26" s="773" t="s">
        <v>17</v>
      </c>
      <c r="W26" s="774">
        <f>J26</f>
        <v>100</v>
      </c>
      <c r="X26" s="1816"/>
      <c r="Y26" s="3185"/>
      <c r="Z26" s="1817">
        <f>Q26</f>
        <v>111</v>
      </c>
      <c r="AA26" s="1814">
        <f t="shared" si="3"/>
        <v>1</v>
      </c>
      <c r="AB26" s="1814">
        <f t="shared" si="4"/>
        <v>1</v>
      </c>
      <c r="AC26" s="1814">
        <f t="shared" si="5"/>
        <v>1</v>
      </c>
    </row>
    <row r="27" spans="1:29" s="117" customFormat="1" ht="15">
      <c r="A27" s="432"/>
      <c r="B27" s="1388">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4"/>
      <c r="M27" s="1135"/>
      <c r="N27" s="1135"/>
      <c r="O27" s="1136"/>
      <c r="P27" s="3185"/>
      <c r="Q27" s="1798">
        <f t="shared" si="8"/>
        <v>111</v>
      </c>
      <c r="R27" s="769" t="s">
        <v>17</v>
      </c>
      <c r="S27" s="770">
        <f>F27</f>
        <v>100</v>
      </c>
      <c r="T27" s="769" t="s">
        <v>17</v>
      </c>
      <c r="U27" s="770">
        <f>H27</f>
        <v>100</v>
      </c>
      <c r="V27" s="769" t="s">
        <v>17</v>
      </c>
      <c r="W27" s="770">
        <f>J27</f>
        <v>100</v>
      </c>
      <c r="X27" s="771"/>
      <c r="Y27" s="3185"/>
      <c r="Z27" s="55">
        <f>Q27</f>
        <v>111</v>
      </c>
      <c r="AA27" s="1814">
        <f>D27/F27</f>
        <v>1</v>
      </c>
      <c r="AB27" s="1814">
        <f>D27/H27</f>
        <v>1</v>
      </c>
      <c r="AC27" s="1814">
        <f>D27/J27</f>
        <v>1</v>
      </c>
    </row>
    <row r="28" spans="1:29" ht="15.75" thickBot="1">
      <c r="A28" s="437"/>
      <c r="B28" s="1388">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2"/>
      <c r="M28" s="1133"/>
      <c r="N28" s="1133"/>
      <c r="O28" s="1141"/>
      <c r="P28" s="3185"/>
      <c r="Q28" s="1813">
        <f t="shared" si="8"/>
        <v>111</v>
      </c>
      <c r="R28" s="773" t="s">
        <v>17</v>
      </c>
      <c r="S28" s="774">
        <f t="shared" ref="S28:S40" si="9">F28</f>
        <v>100</v>
      </c>
      <c r="T28" s="773" t="s">
        <v>17</v>
      </c>
      <c r="U28" s="774">
        <f t="shared" ref="U28:U40" si="10">H28</f>
        <v>100</v>
      </c>
      <c r="V28" s="773" t="s">
        <v>17</v>
      </c>
      <c r="W28" s="774">
        <f t="shared" ref="W28:W40" si="11">J28</f>
        <v>100</v>
      </c>
      <c r="X28" s="1816"/>
      <c r="Y28" s="3185"/>
      <c r="Z28" s="1817">
        <f t="shared" ref="Z28:Z40" si="12">Q28</f>
        <v>111</v>
      </c>
      <c r="AA28" s="1814">
        <f t="shared" si="3"/>
        <v>1</v>
      </c>
      <c r="AB28" s="1814">
        <f t="shared" si="4"/>
        <v>1</v>
      </c>
      <c r="AC28" s="1814">
        <f t="shared" si="5"/>
        <v>1</v>
      </c>
    </row>
    <row r="29" spans="1:29" ht="15">
      <c r="A29" s="467" t="s">
        <v>2561</v>
      </c>
      <c r="B29" s="71" t="s">
        <v>2690</v>
      </c>
      <c r="C29" s="2682"/>
      <c r="D29" s="468">
        <v>100</v>
      </c>
      <c r="E29" s="2682"/>
      <c r="F29" s="462">
        <f>SUMIF(88:88,E29,89:89)-SUMIF(88:88,C29,89:89)+100</f>
        <v>100</v>
      </c>
      <c r="G29" s="2682"/>
      <c r="H29" s="436">
        <f>SUMIF(88:88,G29,89:89)-SUMIF(88:88,C29,89:89)+100</f>
        <v>100</v>
      </c>
      <c r="I29" s="2682"/>
      <c r="J29" s="468">
        <f>SUMIF(88:88,I29,89:89)-SUMIF(88:88,C29,89:89)+100</f>
        <v>100</v>
      </c>
      <c r="K29" s="613"/>
      <c r="L29" s="1142"/>
      <c r="M29" s="1133"/>
      <c r="N29" s="1133"/>
      <c r="O29" s="1141"/>
      <c r="P29" s="3243" t="s">
        <v>2563</v>
      </c>
      <c r="Q29" s="1813" t="str">
        <f t="shared" si="8"/>
        <v>建筑类型</v>
      </c>
      <c r="R29" s="773" t="s">
        <v>17</v>
      </c>
      <c r="S29" s="774">
        <f t="shared" si="9"/>
        <v>100</v>
      </c>
      <c r="T29" s="773" t="s">
        <v>17</v>
      </c>
      <c r="U29" s="774">
        <f t="shared" si="10"/>
        <v>100</v>
      </c>
      <c r="V29" s="773" t="s">
        <v>17</v>
      </c>
      <c r="W29" s="774">
        <f t="shared" si="11"/>
        <v>100</v>
      </c>
      <c r="X29" s="1816"/>
      <c r="Y29" s="3189" t="s">
        <v>2563</v>
      </c>
      <c r="Z29" s="1817" t="str">
        <f t="shared" si="12"/>
        <v>建筑类型</v>
      </c>
      <c r="AA29" s="1814">
        <f t="shared" si="3"/>
        <v>1</v>
      </c>
      <c r="AB29" s="1814">
        <f t="shared" si="4"/>
        <v>1</v>
      </c>
      <c r="AC29" s="1814">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0"/>
      <c r="M30" s="1143"/>
      <c r="N30" s="1143"/>
      <c r="O30" s="1144"/>
      <c r="P30" s="3189"/>
      <c r="Q30" s="775" t="str">
        <f t="shared" si="8"/>
        <v>项目建筑规模</v>
      </c>
      <c r="R30" s="776" t="s">
        <v>17</v>
      </c>
      <c r="S30" s="777" t="e">
        <f t="shared" si="9"/>
        <v>#N/A</v>
      </c>
      <c r="T30" s="776" t="s">
        <v>17</v>
      </c>
      <c r="U30" s="777" t="e">
        <f t="shared" si="10"/>
        <v>#N/A</v>
      </c>
      <c r="V30" s="776" t="s">
        <v>17</v>
      </c>
      <c r="W30" s="777" t="e">
        <f t="shared" si="11"/>
        <v>#N/A</v>
      </c>
      <c r="X30" s="778"/>
      <c r="Y30" s="3189"/>
      <c r="Z30" s="779" t="str">
        <f t="shared" si="12"/>
        <v>项目建筑规模</v>
      </c>
      <c r="AA30" s="1814" t="e">
        <f t="shared" si="3"/>
        <v>#N/A</v>
      </c>
      <c r="AB30" s="1814" t="e">
        <f t="shared" si="4"/>
        <v>#N/A</v>
      </c>
      <c r="AC30" s="1814"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2"/>
      <c r="M31" s="1133"/>
      <c r="N31" s="1133"/>
      <c r="O31" s="1141"/>
      <c r="P31" s="3189"/>
      <c r="Q31" s="1813" t="str">
        <f t="shared" si="8"/>
        <v>建筑结构</v>
      </c>
      <c r="R31" s="773" t="s">
        <v>17</v>
      </c>
      <c r="S31" s="774">
        <f t="shared" si="9"/>
        <v>100</v>
      </c>
      <c r="T31" s="773" t="s">
        <v>17</v>
      </c>
      <c r="U31" s="774">
        <f t="shared" si="10"/>
        <v>100</v>
      </c>
      <c r="V31" s="773" t="s">
        <v>17</v>
      </c>
      <c r="W31" s="774">
        <f t="shared" si="11"/>
        <v>100</v>
      </c>
      <c r="X31" s="1816"/>
      <c r="Y31" s="3189"/>
      <c r="Z31" s="1817" t="str">
        <f t="shared" si="12"/>
        <v>建筑结构</v>
      </c>
      <c r="AA31" s="1814">
        <f t="shared" si="3"/>
        <v>1</v>
      </c>
      <c r="AB31" s="1814">
        <f t="shared" si="4"/>
        <v>1</v>
      </c>
      <c r="AC31" s="1814">
        <f t="shared" si="5"/>
        <v>1</v>
      </c>
    </row>
    <row r="32" spans="1:29" ht="15">
      <c r="A32" s="473"/>
      <c r="B32" s="423" t="s">
        <v>2658</v>
      </c>
      <c r="C32" s="461"/>
      <c r="D32" s="436">
        <v>100</v>
      </c>
      <c r="E32" s="461"/>
      <c r="F32" s="462">
        <f>SUMIF(95:95,E32,96:96)-SUMIF(95:95,C32,96:96)+100</f>
        <v>100</v>
      </c>
      <c r="G32" s="461"/>
      <c r="H32" s="436">
        <f>SUMIF(95:95,G32,96:96)-SUMIF(95:95,C32,96:96)+100</f>
        <v>100</v>
      </c>
      <c r="I32" s="461"/>
      <c r="J32" s="436">
        <f>SUMIF(95:95,I32,96:96)-SUMIF(95:95,C32,96:96)+100</f>
        <v>100</v>
      </c>
      <c r="K32" s="613"/>
      <c r="L32" s="1142"/>
      <c r="M32" s="1133"/>
      <c r="N32" s="1133"/>
      <c r="O32" s="1141"/>
      <c r="P32" s="3189"/>
      <c r="Q32" s="1813" t="str">
        <f t="shared" si="8"/>
        <v>公共部分装修</v>
      </c>
      <c r="R32" s="773" t="s">
        <v>17</v>
      </c>
      <c r="S32" s="774">
        <f t="shared" si="9"/>
        <v>100</v>
      </c>
      <c r="T32" s="773" t="s">
        <v>17</v>
      </c>
      <c r="U32" s="774">
        <f t="shared" si="10"/>
        <v>100</v>
      </c>
      <c r="V32" s="773" t="s">
        <v>17</v>
      </c>
      <c r="W32" s="774">
        <f t="shared" si="11"/>
        <v>100</v>
      </c>
      <c r="X32" s="1816"/>
      <c r="Y32" s="3189"/>
      <c r="Z32" s="1817" t="str">
        <f t="shared" si="12"/>
        <v>公共部分装修</v>
      </c>
      <c r="AA32" s="1814">
        <f t="shared" si="3"/>
        <v>1</v>
      </c>
      <c r="AB32" s="1814">
        <f t="shared" si="4"/>
        <v>1</v>
      </c>
      <c r="AC32" s="1814">
        <f t="shared" si="5"/>
        <v>1</v>
      </c>
    </row>
    <row r="33" spans="1:29" ht="15">
      <c r="A33" s="473"/>
      <c r="B33" s="423" t="s">
        <v>2659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2"/>
      <c r="M33" s="1133"/>
      <c r="N33" s="1133"/>
      <c r="O33" s="1141"/>
      <c r="P33" s="3189"/>
      <c r="Q33" s="1813" t="str">
        <f t="shared" si="8"/>
        <v>成新度</v>
      </c>
      <c r="R33" s="773" t="s">
        <v>17</v>
      </c>
      <c r="S33" s="774" t="e">
        <f t="shared" si="9"/>
        <v>#N/A</v>
      </c>
      <c r="T33" s="773" t="s">
        <v>17</v>
      </c>
      <c r="U33" s="774" t="e">
        <f t="shared" si="10"/>
        <v>#N/A</v>
      </c>
      <c r="V33" s="773" t="s">
        <v>17</v>
      </c>
      <c r="W33" s="774" t="e">
        <f t="shared" si="11"/>
        <v>#N/A</v>
      </c>
      <c r="X33" s="1816"/>
      <c r="Y33" s="3189"/>
      <c r="Z33" s="1817" t="str">
        <f t="shared" si="12"/>
        <v>成新度</v>
      </c>
      <c r="AA33" s="1814" t="e">
        <f t="shared" si="3"/>
        <v>#N/A</v>
      </c>
      <c r="AB33" s="1814" t="e">
        <f t="shared" si="4"/>
        <v>#N/A</v>
      </c>
      <c r="AC33" s="1814" t="e">
        <f t="shared" si="5"/>
        <v>#N/A</v>
      </c>
    </row>
    <row r="34" spans="1:29" s="117" customFormat="1" ht="15">
      <c r="A34" s="474"/>
      <c r="B34" s="423" t="s">
        <v>2692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4"/>
      <c r="M34" s="1135"/>
      <c r="N34" s="1135"/>
      <c r="O34" s="1136"/>
      <c r="P34" s="3189"/>
      <c r="Q34" s="1798" t="str">
        <f t="shared" si="8"/>
        <v>物业管理</v>
      </c>
      <c r="R34" s="769" t="s">
        <v>17</v>
      </c>
      <c r="S34" s="770">
        <f t="shared" si="9"/>
        <v>100</v>
      </c>
      <c r="T34" s="769" t="s">
        <v>17</v>
      </c>
      <c r="U34" s="770">
        <f t="shared" si="10"/>
        <v>100</v>
      </c>
      <c r="V34" s="769" t="s">
        <v>17</v>
      </c>
      <c r="W34" s="770">
        <f t="shared" si="11"/>
        <v>100</v>
      </c>
      <c r="X34" s="771"/>
      <c r="Y34" s="3189"/>
      <c r="Z34" s="55" t="str">
        <f t="shared" si="12"/>
        <v>物业管理</v>
      </c>
      <c r="AA34" s="772">
        <f t="shared" si="3"/>
        <v>1</v>
      </c>
      <c r="AB34" s="772">
        <f t="shared" si="4"/>
        <v>1</v>
      </c>
      <c r="AC34" s="772">
        <f t="shared" si="5"/>
        <v>1</v>
      </c>
    </row>
    <row r="35" spans="1:29" ht="15">
      <c r="A35" s="473"/>
      <c r="B35" s="423" t="s">
        <v>2660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2"/>
      <c r="M35" s="1133"/>
      <c r="N35" s="1133"/>
      <c r="O35" s="1141"/>
      <c r="P35" s="3189" t="s">
        <v>2563</v>
      </c>
      <c r="Q35" s="1813" t="str">
        <f t="shared" si="8"/>
        <v>市政基础设施</v>
      </c>
      <c r="R35" s="773" t="s">
        <v>17</v>
      </c>
      <c r="S35" s="774">
        <f t="shared" si="9"/>
        <v>100</v>
      </c>
      <c r="T35" s="773" t="s">
        <v>17</v>
      </c>
      <c r="U35" s="774">
        <f t="shared" si="10"/>
        <v>100</v>
      </c>
      <c r="V35" s="773" t="s">
        <v>17</v>
      </c>
      <c r="W35" s="774">
        <f t="shared" si="11"/>
        <v>100</v>
      </c>
      <c r="X35" s="1816"/>
      <c r="Y35" s="3189" t="s">
        <v>2563</v>
      </c>
      <c r="Z35" s="1817" t="str">
        <f t="shared" si="12"/>
        <v>市政基础设施</v>
      </c>
      <c r="AA35" s="1814">
        <f t="shared" si="3"/>
        <v>1</v>
      </c>
      <c r="AB35" s="1814">
        <f t="shared" si="4"/>
        <v>1</v>
      </c>
      <c r="AC35" s="1814">
        <f t="shared" si="5"/>
        <v>1</v>
      </c>
    </row>
    <row r="36" spans="1:29" ht="15">
      <c r="A36" s="473"/>
      <c r="B36" s="423" t="s">
        <v>2665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2"/>
      <c r="M36" s="1133"/>
      <c r="N36" s="1133"/>
      <c r="O36" s="1141"/>
      <c r="P36" s="3189"/>
      <c r="Q36" s="1813" t="str">
        <f t="shared" si="8"/>
        <v>内部装修</v>
      </c>
      <c r="R36" s="773" t="s">
        <v>17</v>
      </c>
      <c r="S36" s="774">
        <f t="shared" si="9"/>
        <v>100</v>
      </c>
      <c r="T36" s="773" t="s">
        <v>17</v>
      </c>
      <c r="U36" s="774">
        <f t="shared" si="10"/>
        <v>100</v>
      </c>
      <c r="V36" s="773" t="s">
        <v>17</v>
      </c>
      <c r="W36" s="774">
        <f t="shared" si="11"/>
        <v>100</v>
      </c>
      <c r="X36" s="1816"/>
      <c r="Y36" s="3189"/>
      <c r="Z36" s="1817" t="str">
        <f t="shared" si="12"/>
        <v>内部装修</v>
      </c>
      <c r="AA36" s="1814">
        <f t="shared" si="3"/>
        <v>1</v>
      </c>
      <c r="AB36" s="1814">
        <f t="shared" si="4"/>
        <v>1</v>
      </c>
      <c r="AC36" s="1814">
        <f t="shared" si="5"/>
        <v>1</v>
      </c>
    </row>
    <row r="37" spans="1:29" ht="15">
      <c r="A37" s="473"/>
      <c r="B37" s="423" t="s">
        <v>2701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2"/>
      <c r="M37" s="1133"/>
      <c r="N37" s="1133"/>
      <c r="O37" s="1141"/>
      <c r="P37" s="3189"/>
      <c r="Q37" s="1813" t="str">
        <f t="shared" si="8"/>
        <v>内部装修状况</v>
      </c>
      <c r="R37" s="773" t="s">
        <v>17</v>
      </c>
      <c r="S37" s="774">
        <f t="shared" si="9"/>
        <v>100</v>
      </c>
      <c r="T37" s="773" t="s">
        <v>17</v>
      </c>
      <c r="U37" s="774">
        <f t="shared" si="10"/>
        <v>100</v>
      </c>
      <c r="V37" s="773" t="s">
        <v>17</v>
      </c>
      <c r="W37" s="774">
        <f t="shared" si="11"/>
        <v>100</v>
      </c>
      <c r="X37" s="1816"/>
      <c r="Y37" s="3189"/>
      <c r="Z37" s="1817" t="str">
        <f t="shared" si="12"/>
        <v>内部装修状况</v>
      </c>
      <c r="AA37" s="1814">
        <f t="shared" si="3"/>
        <v>1</v>
      </c>
      <c r="AB37" s="1814">
        <f t="shared" si="4"/>
        <v>1</v>
      </c>
      <c r="AC37" s="1814">
        <f t="shared" si="5"/>
        <v>1</v>
      </c>
    </row>
    <row r="38" spans="1:29" s="472" customFormat="1" ht="15">
      <c r="A38" s="469"/>
      <c r="B38" s="1388">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0"/>
      <c r="M38" s="1143"/>
      <c r="N38" s="1143"/>
      <c r="O38" s="1144"/>
      <c r="P38" s="3189"/>
      <c r="Q38" s="775">
        <f t="shared" si="8"/>
        <v>111</v>
      </c>
      <c r="R38" s="776" t="s">
        <v>17</v>
      </c>
      <c r="S38" s="777">
        <f t="shared" si="9"/>
        <v>100</v>
      </c>
      <c r="T38" s="776" t="s">
        <v>17</v>
      </c>
      <c r="U38" s="777">
        <f t="shared" si="10"/>
        <v>100</v>
      </c>
      <c r="V38" s="776" t="s">
        <v>17</v>
      </c>
      <c r="W38" s="777">
        <f t="shared" si="11"/>
        <v>100</v>
      </c>
      <c r="X38" s="778"/>
      <c r="Y38" s="3189"/>
      <c r="Z38" s="779">
        <f t="shared" si="12"/>
        <v>111</v>
      </c>
      <c r="AA38" s="1814">
        <f t="shared" si="3"/>
        <v>1</v>
      </c>
      <c r="AB38" s="1814">
        <f t="shared" si="4"/>
        <v>1</v>
      </c>
      <c r="AC38" s="1814">
        <f t="shared" si="5"/>
        <v>1</v>
      </c>
    </row>
    <row r="39" spans="1:29" ht="15">
      <c r="A39" s="473"/>
      <c r="B39" s="1388">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2"/>
      <c r="M39" s="1133"/>
      <c r="N39" s="1133"/>
      <c r="O39" s="1141"/>
      <c r="P39" s="3189"/>
      <c r="Q39" s="1813">
        <f t="shared" si="8"/>
        <v>111</v>
      </c>
      <c r="R39" s="773" t="s">
        <v>17</v>
      </c>
      <c r="S39" s="774">
        <f t="shared" si="9"/>
        <v>100</v>
      </c>
      <c r="T39" s="773" t="s">
        <v>17</v>
      </c>
      <c r="U39" s="774">
        <f t="shared" si="10"/>
        <v>100</v>
      </c>
      <c r="V39" s="773" t="s">
        <v>17</v>
      </c>
      <c r="W39" s="774">
        <f t="shared" si="11"/>
        <v>100</v>
      </c>
      <c r="X39" s="1816"/>
      <c r="Y39" s="3189"/>
      <c r="Z39" s="1817">
        <f t="shared" si="12"/>
        <v>111</v>
      </c>
      <c r="AA39" s="1814">
        <f t="shared" si="3"/>
        <v>1</v>
      </c>
      <c r="AB39" s="1814">
        <f t="shared" si="4"/>
        <v>1</v>
      </c>
      <c r="AC39" s="1814">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2"/>
      <c r="M40" s="1133"/>
      <c r="N40" s="1133"/>
      <c r="O40" s="1141"/>
      <c r="P40" s="3190"/>
      <c r="Q40" s="1813">
        <f t="shared" si="8"/>
        <v>111</v>
      </c>
      <c r="R40" s="773" t="s">
        <v>17</v>
      </c>
      <c r="S40" s="774">
        <f t="shared" si="9"/>
        <v>100</v>
      </c>
      <c r="T40" s="773" t="s">
        <v>17</v>
      </c>
      <c r="U40" s="774">
        <f t="shared" si="10"/>
        <v>100</v>
      </c>
      <c r="V40" s="773" t="s">
        <v>17</v>
      </c>
      <c r="W40" s="774">
        <f t="shared" si="11"/>
        <v>100</v>
      </c>
      <c r="X40" s="1816"/>
      <c r="Y40" s="3190"/>
      <c r="Z40" s="1817">
        <f t="shared" si="12"/>
        <v>111</v>
      </c>
      <c r="AA40" s="1814">
        <f t="shared" si="3"/>
        <v>1</v>
      </c>
      <c r="AB40" s="1814">
        <f t="shared" si="4"/>
        <v>1</v>
      </c>
      <c r="AC40" s="1814">
        <f t="shared" si="5"/>
        <v>1</v>
      </c>
    </row>
    <row r="41" spans="1:29" ht="15">
      <c r="A41" s="480" t="s">
        <v>2575</v>
      </c>
      <c r="B41" s="481"/>
      <c r="C41" s="1409" t="s">
        <v>1</v>
      </c>
      <c r="D41" s="1410"/>
      <c r="E41" s="1411"/>
      <c r="F41" s="1412"/>
      <c r="G41" s="1413"/>
      <c r="H41" s="1414"/>
      <c r="I41" s="1411"/>
      <c r="J41" s="1414"/>
      <c r="K41" s="782"/>
      <c r="L41" s="1145"/>
      <c r="M41" s="1146"/>
      <c r="N41" s="1133"/>
      <c r="O41" s="1146"/>
      <c r="P41" s="3182" t="str">
        <f>A41</f>
        <v>成交单价（元/平方米）</v>
      </c>
      <c r="Q41" s="3182"/>
      <c r="R41" s="3183">
        <f>E41</f>
        <v>0</v>
      </c>
      <c r="S41" s="3183"/>
      <c r="T41" s="3183">
        <f>G41</f>
        <v>0</v>
      </c>
      <c r="U41" s="3183"/>
      <c r="V41" s="3183">
        <f>I41</f>
        <v>0</v>
      </c>
      <c r="W41" s="3183"/>
      <c r="X41" s="758"/>
      <c r="Y41" s="780"/>
      <c r="Z41" s="758"/>
      <c r="AA41" s="758"/>
      <c r="AB41" s="758"/>
      <c r="AC41" s="758"/>
    </row>
    <row r="42" spans="1:29" ht="15.75" thickBot="1">
      <c r="A42" s="487" t="s">
        <v>2666</v>
      </c>
      <c r="B42" s="488"/>
      <c r="C42" s="1415" t="e">
        <f>R43</f>
        <v>#DIV/0!</v>
      </c>
      <c r="D42" s="1416"/>
      <c r="E42" s="1417" t="e">
        <f>R42</f>
        <v>#DIV/0!</v>
      </c>
      <c r="F42" s="1417"/>
      <c r="G42" s="1415" t="e">
        <f>T42</f>
        <v>#DIV/0!</v>
      </c>
      <c r="H42" s="1416"/>
      <c r="I42" s="1417" t="e">
        <f>V42</f>
        <v>#DIV/0!</v>
      </c>
      <c r="J42" s="1416"/>
      <c r="K42" s="783"/>
      <c r="L42" s="1145"/>
      <c r="M42" s="1146"/>
      <c r="N42" s="1133"/>
      <c r="O42" s="1146"/>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8"/>
      <c r="Y42" s="758"/>
      <c r="Z42" s="758"/>
      <c r="AA42" s="758"/>
      <c r="AB42" s="758"/>
      <c r="AC42" s="758"/>
    </row>
    <row r="43" spans="1:29" ht="15.75" thickBot="1">
      <c r="A43" s="493" t="s">
        <v>2667</v>
      </c>
      <c r="B43" s="494"/>
      <c r="C43" s="1419" t="e">
        <f>R43</f>
        <v>#DIV/0!</v>
      </c>
      <c r="D43" s="1419"/>
      <c r="E43" s="1419"/>
      <c r="F43" s="1419"/>
      <c r="G43" s="1419"/>
      <c r="H43" s="1419"/>
      <c r="I43" s="1419"/>
      <c r="J43" s="1419"/>
      <c r="K43" s="784"/>
      <c r="L43" s="1145"/>
      <c r="M43" s="1146"/>
      <c r="N43" s="1146"/>
      <c r="O43" s="1146"/>
      <c r="P43" s="3179" t="str">
        <f>A43</f>
        <v>估价对象XX用房的比较价值（楼面单价，元/平方米）</v>
      </c>
      <c r="Q43" s="3180"/>
      <c r="R43" s="3181" t="e">
        <f>IF(F1="售价",ROUND(AVERAGE(R42:V42),0),ROUND(AVERAGE(R42:V42),1))</f>
        <v>#DIV/0!</v>
      </c>
      <c r="S43" s="3181"/>
      <c r="T43" s="3181"/>
      <c r="U43" s="3181"/>
      <c r="V43" s="3181"/>
      <c r="W43" s="318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7"/>
      <c r="L46" s="1108"/>
      <c r="M46" s="1146"/>
      <c r="N46" s="1146"/>
      <c r="O46" s="1146"/>
    </row>
    <row r="47" spans="1:29" ht="13.5" customHeight="1">
      <c r="A47" s="1146"/>
      <c r="B47" s="1146"/>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7"/>
      <c r="L47" s="1108"/>
      <c r="M47" s="1146"/>
      <c r="N47" s="1146"/>
      <c r="O47" s="1146"/>
    </row>
    <row r="48" spans="1:29" s="503" customFormat="1" ht="13.5" customHeight="1">
      <c r="A48" s="1147"/>
      <c r="B48" s="1147"/>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0"/>
      <c r="L48" s="1151"/>
      <c r="M48" s="1147"/>
      <c r="N48" s="1147"/>
      <c r="O48" s="1147"/>
    </row>
    <row r="49" spans="1:17" s="503"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4"/>
      <c r="Q51" s="505"/>
    </row>
    <row r="52" spans="1:17" s="509" customFormat="1" ht="15">
      <c r="A52" s="506" t="s">
        <v>2546</v>
      </c>
      <c r="B52" s="507"/>
      <c r="C52" s="1577" t="str">
        <f>YEAR(C7)&amp;"-"&amp;MONTH(C7)</f>
        <v>2017-11</v>
      </c>
      <c r="D52" s="1578">
        <f>EDATE(C52,-1)</f>
        <v>43009</v>
      </c>
      <c r="E52" s="1578">
        <f t="shared" ref="E52:O52" si="13">EDATE(D52,-1)</f>
        <v>42979</v>
      </c>
      <c r="F52" s="1578">
        <f t="shared" si="13"/>
        <v>42948</v>
      </c>
      <c r="G52" s="1578">
        <f t="shared" si="13"/>
        <v>42917</v>
      </c>
      <c r="H52" s="1578">
        <f t="shared" si="13"/>
        <v>42887</v>
      </c>
      <c r="I52" s="1578">
        <f t="shared" si="13"/>
        <v>42856</v>
      </c>
      <c r="J52" s="1578">
        <f t="shared" si="13"/>
        <v>42826</v>
      </c>
      <c r="K52" s="1578">
        <f t="shared" si="13"/>
        <v>42795</v>
      </c>
      <c r="L52" s="1578">
        <f t="shared" si="13"/>
        <v>42767</v>
      </c>
      <c r="M52" s="1578">
        <f t="shared" si="13"/>
        <v>42736</v>
      </c>
      <c r="N52" s="1578">
        <f t="shared" si="13"/>
        <v>42705</v>
      </c>
      <c r="O52" s="1578">
        <f t="shared" si="13"/>
        <v>42675</v>
      </c>
      <c r="P52" s="508"/>
    </row>
    <row r="53" spans="1:17" s="117" customFormat="1" ht="15">
      <c r="A53" s="510"/>
      <c r="B53" s="511"/>
      <c r="C53" s="1576">
        <v>100</v>
      </c>
      <c r="D53" s="513"/>
      <c r="E53" s="513"/>
      <c r="F53" s="513"/>
      <c r="G53" s="513"/>
      <c r="H53" s="513"/>
      <c r="I53" s="513"/>
      <c r="J53" s="513"/>
      <c r="K53" s="513"/>
      <c r="L53" s="513"/>
      <c r="M53" s="514"/>
      <c r="N53" s="513"/>
      <c r="O53" s="515"/>
      <c r="P53" s="505"/>
    </row>
    <row r="54" spans="1:17" s="117" customFormat="1" ht="15.75" thickBot="1">
      <c r="A54" s="516" t="s">
        <v>2582</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2649</v>
      </c>
      <c r="D55" s="524"/>
      <c r="E55" s="524"/>
      <c r="F55" s="524"/>
      <c r="G55" s="524"/>
      <c r="H55" s="524"/>
      <c r="I55" s="524"/>
      <c r="J55" s="524"/>
      <c r="K55" s="524"/>
      <c r="L55" s="525"/>
      <c r="M55" s="526"/>
      <c r="N55" s="1153"/>
      <c r="O55" s="1153"/>
      <c r="P55" s="527"/>
      <c r="Q55" s="505"/>
    </row>
    <row r="56" spans="1:17" s="117" customFormat="1" ht="15.75" thickBot="1">
      <c r="A56" s="522"/>
      <c r="B56" s="511"/>
      <c r="C56" s="640">
        <v>100</v>
      </c>
      <c r="D56" s="513"/>
      <c r="E56" s="513"/>
      <c r="F56" s="513"/>
      <c r="G56" s="513"/>
      <c r="H56" s="513"/>
      <c r="I56" s="513"/>
      <c r="J56" s="513"/>
      <c r="K56" s="513"/>
      <c r="L56" s="513"/>
      <c r="M56" s="515"/>
      <c r="N56" s="1153"/>
      <c r="O56" s="1153"/>
      <c r="P56" s="505"/>
      <c r="Q56" s="505"/>
    </row>
    <row r="57" spans="1:17">
      <c r="A57" s="528" t="s">
        <v>2585</v>
      </c>
      <c r="B57" s="529" t="s">
        <v>2552</v>
      </c>
      <c r="C57" s="530">
        <f>C9</f>
        <v>0</v>
      </c>
      <c r="D57" s="531"/>
      <c r="E57" s="531"/>
      <c r="F57" s="531"/>
      <c r="G57" s="531"/>
      <c r="H57" s="531"/>
      <c r="I57" s="531"/>
      <c r="J57" s="531"/>
      <c r="K57" s="532"/>
      <c r="L57" s="533"/>
      <c r="M57" s="534"/>
      <c r="N57" s="1154"/>
      <c r="O57" s="1154"/>
      <c r="P57" s="45"/>
      <c r="Q57" s="505"/>
    </row>
    <row r="58" spans="1:17" ht="15.75" thickBot="1">
      <c r="A58" s="535"/>
      <c r="B58" s="536"/>
      <c r="C58" s="537">
        <v>100</v>
      </c>
      <c r="D58" s="537"/>
      <c r="E58" s="537"/>
      <c r="F58" s="537"/>
      <c r="G58" s="537"/>
      <c r="H58" s="537"/>
      <c r="I58" s="537"/>
      <c r="J58" s="537"/>
      <c r="K58" s="537"/>
      <c r="L58" s="537"/>
      <c r="M58" s="538"/>
      <c r="N58" s="1155"/>
      <c r="O58" s="1155"/>
      <c r="P58" s="45"/>
      <c r="Q58" s="505"/>
    </row>
    <row r="59" spans="1:17" ht="27.75" thickTop="1">
      <c r="A59" s="535"/>
      <c r="B59" s="539" t="s">
        <v>2555</v>
      </c>
      <c r="C59" s="540" t="s">
        <v>2586</v>
      </c>
      <c r="D59" s="540" t="s">
        <v>2587</v>
      </c>
      <c r="E59" s="540" t="s">
        <v>2588</v>
      </c>
      <c r="F59" s="540" t="s">
        <v>2589</v>
      </c>
      <c r="G59" s="540" t="s">
        <v>2590</v>
      </c>
      <c r="H59" s="540" t="s">
        <v>2591</v>
      </c>
      <c r="I59" s="540" t="s">
        <v>2592</v>
      </c>
      <c r="J59" s="540"/>
      <c r="K59" s="541"/>
      <c r="L59" s="542"/>
      <c r="M59" s="543"/>
      <c r="N59" s="1154"/>
      <c r="O59" s="1154"/>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5"/>
      <c r="O60" s="1155"/>
      <c r="P60" s="45"/>
      <c r="Q60" s="505"/>
    </row>
    <row r="61" spans="1:17" ht="15.75" thickTop="1">
      <c r="A61" s="535"/>
      <c r="B61" s="547" t="s">
        <v>2556</v>
      </c>
      <c r="C61" s="548" t="str">
        <f>C62&amp;"（含）"&amp;"-"&amp;D62</f>
        <v>（含）-</v>
      </c>
      <c r="D61" s="548" t="str">
        <f t="shared" ref="D61:L61" si="14">D62&amp;"（含）"&amp;"-"&amp;E62</f>
        <v>（含）-</v>
      </c>
      <c r="E61" s="548" t="str">
        <f t="shared" si="14"/>
        <v>（含）-</v>
      </c>
      <c r="F61" s="548" t="str">
        <f t="shared" si="14"/>
        <v>（含）-</v>
      </c>
      <c r="G61" s="548" t="str">
        <f t="shared" si="14"/>
        <v>（含）-</v>
      </c>
      <c r="H61" s="548" t="str">
        <f t="shared" si="14"/>
        <v>（含）-</v>
      </c>
      <c r="I61" s="548" t="str">
        <f t="shared" si="14"/>
        <v>（含）-</v>
      </c>
      <c r="J61" s="548" t="str">
        <f t="shared" si="14"/>
        <v>（含）-</v>
      </c>
      <c r="K61" s="548" t="str">
        <f t="shared" si="14"/>
        <v>（含）-</v>
      </c>
      <c r="L61" s="548" t="str">
        <f t="shared" si="14"/>
        <v>（含）-</v>
      </c>
      <c r="M61" s="449" t="str">
        <f>M62&amp;"（含）"&amp;"-"&amp;P62</f>
        <v>（含）-</v>
      </c>
      <c r="N61" s="1155"/>
      <c r="O61" s="1155"/>
      <c r="P61" s="45"/>
      <c r="Q61" s="505"/>
    </row>
    <row r="62" spans="1:17" ht="15">
      <c r="A62" s="535"/>
      <c r="B62" s="549"/>
      <c r="C62" s="550"/>
      <c r="D62" s="550"/>
      <c r="E62" s="550"/>
      <c r="F62" s="550"/>
      <c r="G62" s="550"/>
      <c r="H62" s="550"/>
      <c r="I62" s="550"/>
      <c r="J62" s="550"/>
      <c r="K62" s="551"/>
      <c r="L62" s="552"/>
      <c r="M62" s="553"/>
      <c r="N62" s="1154"/>
      <c r="O62" s="1154"/>
      <c r="P62" s="45"/>
      <c r="Q62" s="505"/>
    </row>
    <row r="63" spans="1:17" ht="15.75" thickBot="1">
      <c r="A63" s="535"/>
      <c r="B63" s="536"/>
      <c r="C63" s="545">
        <v>100</v>
      </c>
      <c r="D63" s="545">
        <f t="shared" ref="D63:M63" si="15">C63-$K11</f>
        <v>100</v>
      </c>
      <c r="E63" s="545">
        <f t="shared" si="15"/>
        <v>100</v>
      </c>
      <c r="F63" s="545">
        <f t="shared" si="15"/>
        <v>100</v>
      </c>
      <c r="G63" s="545">
        <f t="shared" si="15"/>
        <v>100</v>
      </c>
      <c r="H63" s="545">
        <f t="shared" si="15"/>
        <v>100</v>
      </c>
      <c r="I63" s="545">
        <f t="shared" si="15"/>
        <v>100</v>
      </c>
      <c r="J63" s="545">
        <f t="shared" si="15"/>
        <v>100</v>
      </c>
      <c r="K63" s="545">
        <f t="shared" si="15"/>
        <v>100</v>
      </c>
      <c r="L63" s="545">
        <f t="shared" si="15"/>
        <v>100</v>
      </c>
      <c r="M63" s="546">
        <f t="shared" si="15"/>
        <v>100</v>
      </c>
      <c r="N63" s="1155"/>
      <c r="O63" s="1155"/>
      <c r="P63" s="45"/>
      <c r="Q63" s="505"/>
    </row>
    <row r="64" spans="1:17" s="472" customFormat="1" ht="15.75" thickTop="1">
      <c r="A64" s="554"/>
      <c r="B64" s="539">
        <f>B12</f>
        <v>111</v>
      </c>
      <c r="C64" s="555"/>
      <c r="D64" s="555"/>
      <c r="E64" s="555"/>
      <c r="F64" s="555"/>
      <c r="G64" s="555"/>
      <c r="H64" s="556"/>
      <c r="I64" s="556"/>
      <c r="J64" s="556"/>
      <c r="K64" s="556"/>
      <c r="L64" s="557"/>
      <c r="M64" s="558"/>
      <c r="N64" s="1156"/>
      <c r="O64" s="1156"/>
      <c r="P64" s="559"/>
      <c r="Q64" s="560"/>
    </row>
    <row r="65" spans="1:17" s="472" customFormat="1" ht="15.75" thickBot="1">
      <c r="A65" s="554"/>
      <c r="B65" s="544"/>
      <c r="C65" s="561"/>
      <c r="D65" s="537"/>
      <c r="E65" s="537"/>
      <c r="F65" s="537"/>
      <c r="G65" s="537"/>
      <c r="H65" s="537"/>
      <c r="I65" s="537"/>
      <c r="J65" s="537"/>
      <c r="K65" s="537"/>
      <c r="L65" s="537"/>
      <c r="M65" s="538"/>
      <c r="N65" s="1155"/>
      <c r="O65" s="1155"/>
      <c r="P65" s="559"/>
      <c r="Q65" s="560"/>
    </row>
    <row r="66" spans="1:17" s="472" customFormat="1" ht="15.75" thickTop="1">
      <c r="A66" s="554"/>
      <c r="B66" s="539">
        <f>B13</f>
        <v>111</v>
      </c>
      <c r="C66" s="555"/>
      <c r="D66" s="555"/>
      <c r="E66" s="555"/>
      <c r="F66" s="555"/>
      <c r="G66" s="555"/>
      <c r="H66" s="556"/>
      <c r="I66" s="556"/>
      <c r="J66" s="556"/>
      <c r="K66" s="556"/>
      <c r="L66" s="557"/>
      <c r="M66" s="558"/>
      <c r="N66" s="1156"/>
      <c r="O66" s="1156"/>
      <c r="P66" s="471"/>
      <c r="Q66" s="562"/>
    </row>
    <row r="67" spans="1:17" s="472" customFormat="1" ht="15.75" thickBot="1">
      <c r="A67" s="554"/>
      <c r="B67" s="544"/>
      <c r="C67" s="561"/>
      <c r="D67" s="537"/>
      <c r="E67" s="537"/>
      <c r="F67" s="537"/>
      <c r="G67" s="561"/>
      <c r="H67" s="563"/>
      <c r="I67" s="563"/>
      <c r="J67" s="563"/>
      <c r="K67" s="563"/>
      <c r="L67" s="563"/>
      <c r="M67" s="564"/>
      <c r="N67" s="1156"/>
      <c r="O67" s="1156"/>
      <c r="P67" s="559"/>
      <c r="Q67" s="560"/>
    </row>
    <row r="68" spans="1:17" s="472" customFormat="1" ht="15.75" thickTop="1">
      <c r="A68" s="554"/>
      <c r="B68" s="547">
        <f>B14</f>
        <v>111</v>
      </c>
      <c r="C68" s="524"/>
      <c r="D68" s="524"/>
      <c r="E68" s="524"/>
      <c r="F68" s="524"/>
      <c r="G68" s="524"/>
      <c r="H68" s="565"/>
      <c r="I68" s="565"/>
      <c r="J68" s="565"/>
      <c r="K68" s="565"/>
      <c r="L68" s="566"/>
      <c r="M68" s="567"/>
      <c r="N68" s="1156"/>
      <c r="O68" s="1156"/>
      <c r="P68" s="568"/>
      <c r="Q68" s="560"/>
    </row>
    <row r="69" spans="1:17" s="472" customFormat="1" ht="15.75" thickBot="1">
      <c r="A69" s="569"/>
      <c r="B69" s="570"/>
      <c r="C69" s="571"/>
      <c r="D69" s="571"/>
      <c r="E69" s="571"/>
      <c r="F69" s="571"/>
      <c r="G69" s="571"/>
      <c r="H69" s="572"/>
      <c r="I69" s="572"/>
      <c r="J69" s="572"/>
      <c r="K69" s="572"/>
      <c r="L69" s="572"/>
      <c r="M69" s="573"/>
      <c r="N69" s="1156"/>
      <c r="O69" s="1156"/>
      <c r="P69" s="559"/>
      <c r="Q69" s="560"/>
    </row>
    <row r="70" spans="1:17">
      <c r="A70" s="528" t="s">
        <v>2557</v>
      </c>
      <c r="B70" s="529" t="s">
        <v>2702</v>
      </c>
      <c r="C70" s="574" t="s">
        <v>2594</v>
      </c>
      <c r="D70" s="574" t="s">
        <v>2595</v>
      </c>
      <c r="E70" s="574" t="s">
        <v>2596</v>
      </c>
      <c r="F70" s="574" t="s">
        <v>2597</v>
      </c>
      <c r="G70" s="574" t="s">
        <v>2598</v>
      </c>
      <c r="H70" s="530"/>
      <c r="I70" s="530"/>
      <c r="J70" s="530"/>
      <c r="K70" s="575"/>
      <c r="L70" s="576"/>
      <c r="M70" s="577"/>
      <c r="N70" s="1154"/>
      <c r="O70" s="1154"/>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5"/>
      <c r="O71" s="1155"/>
      <c r="P71" s="45"/>
      <c r="Q71" s="505"/>
    </row>
    <row r="72" spans="1:17" ht="15.75" thickTop="1">
      <c r="A72" s="535"/>
      <c r="B72" s="539" t="s">
        <v>2599</v>
      </c>
      <c r="C72" s="579" t="s">
        <v>2594</v>
      </c>
      <c r="D72" s="579" t="s">
        <v>2595</v>
      </c>
      <c r="E72" s="579" t="s">
        <v>2596</v>
      </c>
      <c r="F72" s="579" t="s">
        <v>2597</v>
      </c>
      <c r="G72" s="579" t="s">
        <v>2598</v>
      </c>
      <c r="H72" s="540"/>
      <c r="I72" s="540"/>
      <c r="J72" s="540"/>
      <c r="K72" s="541"/>
      <c r="L72" s="542"/>
      <c r="M72" s="543"/>
      <c r="N72" s="1154"/>
      <c r="O72" s="1154"/>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5"/>
      <c r="O73" s="1155"/>
      <c r="P73" s="45"/>
      <c r="Q73" s="505"/>
    </row>
    <row r="74" spans="1:17" ht="15.75" thickTop="1">
      <c r="A74" s="535"/>
      <c r="B74" s="539" t="s">
        <v>2600</v>
      </c>
      <c r="C74" s="579" t="s">
        <v>2594</v>
      </c>
      <c r="D74" s="579" t="s">
        <v>2595</v>
      </c>
      <c r="E74" s="579" t="s">
        <v>2596</v>
      </c>
      <c r="F74" s="579" t="s">
        <v>2597</v>
      </c>
      <c r="G74" s="579" t="s">
        <v>2598</v>
      </c>
      <c r="H74" s="540"/>
      <c r="I74" s="540"/>
      <c r="J74" s="540"/>
      <c r="K74" s="541"/>
      <c r="L74" s="542"/>
      <c r="M74" s="543"/>
      <c r="N74" s="1154"/>
      <c r="O74" s="1154"/>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5"/>
      <c r="O75" s="1155"/>
      <c r="P75" s="45"/>
      <c r="Q75" s="505"/>
    </row>
    <row r="76" spans="1:17" ht="15.75" thickTop="1">
      <c r="A76" s="535"/>
      <c r="B76" s="547" t="s">
        <v>2686</v>
      </c>
      <c r="C76" s="661" t="s">
        <v>2672</v>
      </c>
      <c r="D76" s="661" t="s">
        <v>2673</v>
      </c>
      <c r="E76" s="661" t="s">
        <v>2674</v>
      </c>
      <c r="F76" s="661" t="s">
        <v>2675</v>
      </c>
      <c r="G76" s="661" t="s">
        <v>2676</v>
      </c>
      <c r="H76" s="540"/>
      <c r="I76" s="540"/>
      <c r="J76" s="540"/>
      <c r="K76" s="540"/>
      <c r="L76" s="540"/>
      <c r="M76" s="1384"/>
      <c r="N76" s="1155"/>
      <c r="O76" s="1155"/>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5"/>
      <c r="O77" s="1155"/>
      <c r="P77" s="45"/>
      <c r="Q77" s="505"/>
    </row>
    <row r="78" spans="1:17" ht="15.75" thickTop="1">
      <c r="A78" s="535"/>
      <c r="B78" s="539" t="s">
        <v>2695</v>
      </c>
      <c r="C78" s="579" t="s">
        <v>2594</v>
      </c>
      <c r="D78" s="579" t="s">
        <v>2595</v>
      </c>
      <c r="E78" s="579" t="s">
        <v>2596</v>
      </c>
      <c r="F78" s="579" t="s">
        <v>2597</v>
      </c>
      <c r="G78" s="579" t="s">
        <v>2598</v>
      </c>
      <c r="H78" s="540"/>
      <c r="I78" s="540"/>
      <c r="J78" s="540"/>
      <c r="K78" s="541"/>
      <c r="L78" s="542"/>
      <c r="M78" s="543"/>
      <c r="N78" s="1154"/>
      <c r="O78" s="1154"/>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5"/>
      <c r="O79" s="1155"/>
      <c r="P79" s="45"/>
      <c r="Q79" s="505"/>
    </row>
    <row r="80" spans="1:17" s="117" customFormat="1" ht="15.75" thickTop="1">
      <c r="A80" s="580"/>
      <c r="B80" s="539">
        <f>B25</f>
        <v>111</v>
      </c>
      <c r="C80" s="555"/>
      <c r="D80" s="555"/>
      <c r="E80" s="555"/>
      <c r="F80" s="555"/>
      <c r="G80" s="555"/>
      <c r="H80" s="555"/>
      <c r="I80" s="555"/>
      <c r="J80" s="555"/>
      <c r="K80" s="555"/>
      <c r="L80" s="581"/>
      <c r="M80" s="582"/>
      <c r="N80" s="1153"/>
      <c r="O80" s="1153"/>
      <c r="P80" s="45"/>
      <c r="Q80" s="505"/>
    </row>
    <row r="81" spans="1:17" s="117" customFormat="1" ht="15.75" thickBot="1">
      <c r="A81" s="580"/>
      <c r="B81" s="544"/>
      <c r="C81" s="561"/>
      <c r="D81" s="537"/>
      <c r="E81" s="537"/>
      <c r="F81" s="537"/>
      <c r="G81" s="537"/>
      <c r="H81" s="537"/>
      <c r="I81" s="537"/>
      <c r="J81" s="537"/>
      <c r="K81" s="537"/>
      <c r="L81" s="537"/>
      <c r="M81" s="538"/>
      <c r="N81" s="1155"/>
      <c r="O81" s="1155"/>
      <c r="P81" s="45"/>
      <c r="Q81" s="505"/>
    </row>
    <row r="82" spans="1:17" s="117" customFormat="1" ht="15.75" thickTop="1">
      <c r="A82" s="580"/>
      <c r="B82" s="539">
        <f>B26</f>
        <v>111</v>
      </c>
      <c r="C82" s="555"/>
      <c r="D82" s="555"/>
      <c r="E82" s="555"/>
      <c r="F82" s="555"/>
      <c r="G82" s="555"/>
      <c r="H82" s="555"/>
      <c r="I82" s="555"/>
      <c r="J82" s="555"/>
      <c r="K82" s="555"/>
      <c r="L82" s="581"/>
      <c r="M82" s="582"/>
      <c r="N82" s="1153"/>
      <c r="O82" s="1153"/>
      <c r="P82" s="45"/>
      <c r="Q82" s="505"/>
    </row>
    <row r="83" spans="1:17" s="117" customFormat="1" ht="15.75" thickBot="1">
      <c r="A83" s="580"/>
      <c r="B83" s="544"/>
      <c r="C83" s="561"/>
      <c r="D83" s="537"/>
      <c r="E83" s="537"/>
      <c r="F83" s="537"/>
      <c r="G83" s="537"/>
      <c r="H83" s="537"/>
      <c r="I83" s="537"/>
      <c r="J83" s="537"/>
      <c r="K83" s="537"/>
      <c r="L83" s="537"/>
      <c r="M83" s="538"/>
      <c r="N83" s="1155"/>
      <c r="O83" s="1155"/>
      <c r="P83" s="45"/>
      <c r="Q83" s="505"/>
    </row>
    <row r="84" spans="1:17" s="472" customFormat="1" ht="15.75" thickTop="1">
      <c r="A84" s="554"/>
      <c r="B84" s="539">
        <f>B27</f>
        <v>111</v>
      </c>
      <c r="C84" s="555"/>
      <c r="D84" s="555"/>
      <c r="E84" s="555"/>
      <c r="F84" s="555"/>
      <c r="G84" s="555"/>
      <c r="H84" s="555"/>
      <c r="I84" s="555"/>
      <c r="J84" s="555"/>
      <c r="K84" s="555"/>
      <c r="L84" s="581"/>
      <c r="M84" s="582"/>
      <c r="N84" s="1156"/>
      <c r="O84" s="1156"/>
      <c r="P84" s="559"/>
      <c r="Q84" s="560"/>
    </row>
    <row r="85" spans="1:17" s="472" customFormat="1" ht="15.75" thickBot="1">
      <c r="A85" s="554"/>
      <c r="B85" s="544"/>
      <c r="C85" s="561"/>
      <c r="D85" s="537"/>
      <c r="E85" s="537"/>
      <c r="F85" s="537"/>
      <c r="G85" s="537"/>
      <c r="H85" s="537"/>
      <c r="I85" s="537"/>
      <c r="J85" s="537"/>
      <c r="K85" s="537"/>
      <c r="L85" s="537"/>
      <c r="M85" s="538"/>
      <c r="N85" s="1156"/>
      <c r="O85" s="1156"/>
      <c r="P85" s="559"/>
      <c r="Q85" s="560"/>
    </row>
    <row r="86" spans="1:17" ht="15.75" thickTop="1">
      <c r="A86" s="535"/>
      <c r="B86" s="547">
        <f>B28</f>
        <v>111</v>
      </c>
      <c r="C86" s="524"/>
      <c r="D86" s="524"/>
      <c r="E86" s="524"/>
      <c r="F86" s="524"/>
      <c r="G86" s="588"/>
      <c r="H86" s="588"/>
      <c r="I86" s="588"/>
      <c r="J86" s="588"/>
      <c r="K86" s="589"/>
      <c r="L86" s="590"/>
      <c r="M86" s="591"/>
      <c r="N86" s="1154"/>
      <c r="O86" s="1154"/>
      <c r="P86" s="45"/>
      <c r="Q86" s="505"/>
    </row>
    <row r="87" spans="1:17" ht="15.75" thickBot="1">
      <c r="A87" s="2639"/>
      <c r="B87" s="570"/>
      <c r="C87" s="571"/>
      <c r="D87" s="571"/>
      <c r="E87" s="571"/>
      <c r="F87" s="571"/>
      <c r="G87" s="592"/>
      <c r="H87" s="592"/>
      <c r="I87" s="592"/>
      <c r="J87" s="592"/>
      <c r="K87" s="592"/>
      <c r="L87" s="592"/>
      <c r="M87" s="593"/>
      <c r="N87" s="1155"/>
      <c r="O87" s="1155"/>
      <c r="P87" s="45"/>
      <c r="Q87" s="505"/>
    </row>
    <row r="88" spans="1:17">
      <c r="A88" s="528" t="s">
        <v>2561</v>
      </c>
      <c r="B88" s="529" t="s">
        <v>2609</v>
      </c>
      <c r="C88" s="531"/>
      <c r="D88" s="531"/>
      <c r="E88" s="531"/>
      <c r="F88" s="531"/>
      <c r="G88" s="531"/>
      <c r="H88" s="531"/>
      <c r="I88" s="531"/>
      <c r="J88" s="531"/>
      <c r="K88" s="532"/>
      <c r="L88" s="533"/>
      <c r="M88" s="534"/>
      <c r="N88" s="1154"/>
      <c r="O88" s="1154"/>
      <c r="P88" s="45"/>
      <c r="Q88" s="505"/>
    </row>
    <row r="89" spans="1:17" ht="15.75" thickBot="1">
      <c r="A89" s="535"/>
      <c r="B89" s="544"/>
      <c r="C89" s="545">
        <v>100</v>
      </c>
      <c r="D89" s="545">
        <f t="shared" ref="D89:M89" si="16">C89-$K29</f>
        <v>100</v>
      </c>
      <c r="E89" s="545">
        <f t="shared" si="16"/>
        <v>100</v>
      </c>
      <c r="F89" s="545">
        <f t="shared" si="16"/>
        <v>100</v>
      </c>
      <c r="G89" s="545">
        <f t="shared" si="16"/>
        <v>100</v>
      </c>
      <c r="H89" s="545">
        <f t="shared" si="16"/>
        <v>100</v>
      </c>
      <c r="I89" s="545">
        <f t="shared" si="16"/>
        <v>100</v>
      </c>
      <c r="J89" s="545">
        <f t="shared" si="16"/>
        <v>100</v>
      </c>
      <c r="K89" s="545">
        <f t="shared" si="16"/>
        <v>100</v>
      </c>
      <c r="L89" s="545">
        <f t="shared" si="16"/>
        <v>100</v>
      </c>
      <c r="M89" s="546">
        <f t="shared" si="16"/>
        <v>100</v>
      </c>
      <c r="N89" s="1155"/>
      <c r="O89" s="1155"/>
      <c r="P89" s="45"/>
      <c r="Q89" s="505"/>
    </row>
    <row r="90" spans="1:17" ht="15.75" thickTop="1">
      <c r="A90" s="535"/>
      <c r="B90" s="539" t="s">
        <v>2610</v>
      </c>
      <c r="C90" s="579" t="str">
        <f>C91&amp;"(含)"&amp;"-"&amp;D91</f>
        <v>(含)-</v>
      </c>
      <c r="D90" s="579" t="str">
        <f t="shared" ref="D90:L90" si="17">D91&amp;"(含)"&amp;"-"&amp;E91</f>
        <v>(含)-</v>
      </c>
      <c r="E90" s="579" t="str">
        <f t="shared" si="17"/>
        <v>(含)-</v>
      </c>
      <c r="F90" s="579" t="str">
        <f t="shared" si="17"/>
        <v>(含)-</v>
      </c>
      <c r="G90" s="579" t="str">
        <f t="shared" si="17"/>
        <v>(含)-</v>
      </c>
      <c r="H90" s="579" t="str">
        <f t="shared" si="17"/>
        <v>(含)-</v>
      </c>
      <c r="I90" s="579" t="str">
        <f t="shared" si="17"/>
        <v>(含)-</v>
      </c>
      <c r="J90" s="579" t="str">
        <f t="shared" si="17"/>
        <v>(含)-</v>
      </c>
      <c r="K90" s="579" t="str">
        <f t="shared" si="17"/>
        <v>(含)-</v>
      </c>
      <c r="L90" s="579" t="str">
        <f t="shared" si="17"/>
        <v>(含)-</v>
      </c>
      <c r="M90" s="623" t="str">
        <f>M91&amp;"(含)"&amp;"-"&amp;P91</f>
        <v>(含)-</v>
      </c>
      <c r="N90" s="1153"/>
      <c r="O90" s="1153"/>
      <c r="P90" s="45"/>
      <c r="Q90" s="505"/>
    </row>
    <row r="91" spans="1:17" s="472" customFormat="1">
      <c r="A91" s="594"/>
      <c r="B91" s="595"/>
      <c r="C91" s="596"/>
      <c r="D91" s="596"/>
      <c r="E91" s="596"/>
      <c r="F91" s="596"/>
      <c r="G91" s="596"/>
      <c r="H91" s="596"/>
      <c r="I91" s="596"/>
      <c r="J91" s="597"/>
      <c r="K91" s="597"/>
      <c r="L91" s="598"/>
      <c r="M91" s="599"/>
      <c r="N91" s="1156"/>
      <c r="O91" s="1156"/>
      <c r="P91" s="559"/>
      <c r="Q91" s="560"/>
    </row>
    <row r="92" spans="1:17" s="472" customFormat="1" ht="15.75" thickBot="1">
      <c r="A92" s="554"/>
      <c r="B92" s="544"/>
      <c r="C92" s="561"/>
      <c r="D92" s="537"/>
      <c r="E92" s="537"/>
      <c r="F92" s="537"/>
      <c r="G92" s="537"/>
      <c r="H92" s="537"/>
      <c r="I92" s="537"/>
      <c r="J92" s="537"/>
      <c r="K92" s="537"/>
      <c r="L92" s="537"/>
      <c r="M92" s="538"/>
      <c r="N92" s="1155"/>
      <c r="O92" s="1155"/>
      <c r="P92" s="559"/>
      <c r="Q92" s="560"/>
    </row>
    <row r="93" spans="1:17" ht="15" thickTop="1">
      <c r="A93" s="600"/>
      <c r="B93" s="539" t="s">
        <v>2611</v>
      </c>
      <c r="C93" s="555"/>
      <c r="D93" s="555"/>
      <c r="E93" s="584"/>
      <c r="F93" s="584"/>
      <c r="G93" s="584"/>
      <c r="H93" s="584"/>
      <c r="I93" s="584"/>
      <c r="J93" s="584"/>
      <c r="K93" s="585"/>
      <c r="L93" s="586"/>
      <c r="M93" s="587"/>
      <c r="N93" s="1154"/>
      <c r="O93" s="1154"/>
      <c r="P93" s="45"/>
      <c r="Q93" s="505"/>
    </row>
    <row r="94" spans="1:17" ht="15.75" thickBot="1">
      <c r="A94" s="535"/>
      <c r="B94" s="544"/>
      <c r="C94" s="545">
        <v>100</v>
      </c>
      <c r="D94" s="545">
        <f t="shared" ref="D94:M94" si="18">C94-$K31</f>
        <v>100</v>
      </c>
      <c r="E94" s="545">
        <f t="shared" si="18"/>
        <v>100</v>
      </c>
      <c r="F94" s="545">
        <f t="shared" si="18"/>
        <v>100</v>
      </c>
      <c r="G94" s="545">
        <f t="shared" si="18"/>
        <v>100</v>
      </c>
      <c r="H94" s="545">
        <f t="shared" si="18"/>
        <v>100</v>
      </c>
      <c r="I94" s="545">
        <f t="shared" si="18"/>
        <v>100</v>
      </c>
      <c r="J94" s="545">
        <f t="shared" si="18"/>
        <v>100</v>
      </c>
      <c r="K94" s="545">
        <f t="shared" si="18"/>
        <v>100</v>
      </c>
      <c r="L94" s="545">
        <f t="shared" si="18"/>
        <v>100</v>
      </c>
      <c r="M94" s="546">
        <f t="shared" si="18"/>
        <v>100</v>
      </c>
      <c r="N94" s="1155"/>
      <c r="O94" s="1155"/>
      <c r="P94" s="45"/>
      <c r="Q94" s="505"/>
    </row>
    <row r="95" spans="1:17" ht="15" thickTop="1">
      <c r="A95" s="600"/>
      <c r="B95" s="539" t="s">
        <v>2613</v>
      </c>
      <c r="C95" s="555"/>
      <c r="D95" s="555"/>
      <c r="E95" s="555"/>
      <c r="F95" s="584"/>
      <c r="G95" s="584"/>
      <c r="H95" s="584"/>
      <c r="I95" s="584"/>
      <c r="J95" s="584"/>
      <c r="K95" s="585"/>
      <c r="L95" s="586"/>
      <c r="M95" s="587"/>
      <c r="N95" s="1154"/>
      <c r="O95" s="1154"/>
      <c r="P95" s="45"/>
      <c r="Q95" s="505"/>
    </row>
    <row r="96" spans="1:17" ht="15.75" thickBot="1">
      <c r="A96" s="535"/>
      <c r="B96" s="544"/>
      <c r="C96" s="545">
        <v>100</v>
      </c>
      <c r="D96" s="545">
        <f t="shared" ref="D96:M96" si="19">C96-$K32</f>
        <v>100</v>
      </c>
      <c r="E96" s="545">
        <f t="shared" si="19"/>
        <v>100</v>
      </c>
      <c r="F96" s="545">
        <f t="shared" si="19"/>
        <v>100</v>
      </c>
      <c r="G96" s="545">
        <f t="shared" si="19"/>
        <v>100</v>
      </c>
      <c r="H96" s="545">
        <f t="shared" si="19"/>
        <v>100</v>
      </c>
      <c r="I96" s="545">
        <f t="shared" si="19"/>
        <v>100</v>
      </c>
      <c r="J96" s="545">
        <f t="shared" si="19"/>
        <v>100</v>
      </c>
      <c r="K96" s="545">
        <f t="shared" si="19"/>
        <v>100</v>
      </c>
      <c r="L96" s="545">
        <f t="shared" si="19"/>
        <v>100</v>
      </c>
      <c r="M96" s="546">
        <f t="shared" si="19"/>
        <v>100</v>
      </c>
      <c r="N96" s="1155"/>
      <c r="O96" s="1155"/>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4"/>
      <c r="O97" s="1154"/>
      <c r="P97" s="45"/>
      <c r="Q97" s="505"/>
    </row>
    <row r="98" spans="1:17">
      <c r="A98" s="600"/>
      <c r="B98" s="547"/>
      <c r="C98" s="604">
        <v>0.5</v>
      </c>
      <c r="D98" s="604">
        <v>0.6</v>
      </c>
      <c r="E98" s="604">
        <v>0.7</v>
      </c>
      <c r="F98" s="604">
        <v>0.8</v>
      </c>
      <c r="G98" s="604">
        <v>0.9</v>
      </c>
      <c r="H98" s="604">
        <v>1.0001</v>
      </c>
      <c r="I98" s="624"/>
      <c r="J98" s="624"/>
      <c r="K98" s="625"/>
      <c r="L98" s="626"/>
      <c r="M98" s="627"/>
      <c r="N98" s="1154"/>
      <c r="O98" s="1154"/>
      <c r="P98" s="45"/>
      <c r="Q98" s="505"/>
    </row>
    <row r="99" spans="1:17" ht="15.75" thickBot="1">
      <c r="A99" s="535"/>
      <c r="B99" s="544"/>
      <c r="C99" s="583">
        <v>100</v>
      </c>
      <c r="D99" s="545">
        <f>C99+$K33</f>
        <v>100</v>
      </c>
      <c r="E99" s="545">
        <f t="shared" ref="E99:M99" si="20">D99+$K33</f>
        <v>100</v>
      </c>
      <c r="F99" s="545">
        <f t="shared" si="20"/>
        <v>100</v>
      </c>
      <c r="G99" s="545">
        <f t="shared" si="20"/>
        <v>100</v>
      </c>
      <c r="H99" s="545">
        <f t="shared" si="20"/>
        <v>100</v>
      </c>
      <c r="I99" s="545">
        <f t="shared" si="20"/>
        <v>100</v>
      </c>
      <c r="J99" s="545">
        <f t="shared" si="20"/>
        <v>100</v>
      </c>
      <c r="K99" s="545">
        <f t="shared" si="20"/>
        <v>100</v>
      </c>
      <c r="L99" s="545">
        <f t="shared" si="20"/>
        <v>100</v>
      </c>
      <c r="M99" s="545">
        <f t="shared" si="20"/>
        <v>100</v>
      </c>
      <c r="N99" s="1155"/>
      <c r="O99" s="1155"/>
      <c r="P99" s="45"/>
      <c r="Q99" s="505"/>
    </row>
    <row r="100" spans="1:17" s="472" customFormat="1" ht="15" thickTop="1">
      <c r="A100" s="594"/>
      <c r="B100" s="539" t="s">
        <v>2614</v>
      </c>
      <c r="C100" s="555"/>
      <c r="D100" s="555"/>
      <c r="E100" s="555"/>
      <c r="F100" s="555"/>
      <c r="G100" s="555"/>
      <c r="H100" s="584"/>
      <c r="I100" s="584"/>
      <c r="J100" s="584"/>
      <c r="K100" s="585"/>
      <c r="L100" s="586"/>
      <c r="M100" s="587"/>
      <c r="N100" s="1156"/>
      <c r="O100" s="1156"/>
      <c r="P100" s="559"/>
      <c r="Q100" s="560"/>
    </row>
    <row r="101" spans="1:17" s="472" customFormat="1" ht="15.75" thickBot="1">
      <c r="A101" s="554"/>
      <c r="B101" s="544"/>
      <c r="C101" s="545">
        <v>100</v>
      </c>
      <c r="D101" s="545">
        <f>C101-$K34</f>
        <v>100</v>
      </c>
      <c r="E101" s="545">
        <f t="shared" ref="E101:M101" si="21">D101-$K34</f>
        <v>100</v>
      </c>
      <c r="F101" s="545">
        <f t="shared" si="21"/>
        <v>100</v>
      </c>
      <c r="G101" s="545">
        <f t="shared" si="21"/>
        <v>100</v>
      </c>
      <c r="H101" s="545">
        <f t="shared" si="21"/>
        <v>100</v>
      </c>
      <c r="I101" s="545">
        <f t="shared" si="21"/>
        <v>100</v>
      </c>
      <c r="J101" s="545">
        <f t="shared" si="21"/>
        <v>100</v>
      </c>
      <c r="K101" s="545">
        <f t="shared" si="21"/>
        <v>100</v>
      </c>
      <c r="L101" s="545">
        <f t="shared" si="21"/>
        <v>100</v>
      </c>
      <c r="M101" s="545">
        <f t="shared" si="21"/>
        <v>100</v>
      </c>
      <c r="N101" s="1156"/>
      <c r="O101" s="1156"/>
      <c r="P101" s="559"/>
      <c r="Q101" s="560"/>
    </row>
    <row r="102" spans="1:17" ht="15" thickTop="1">
      <c r="A102" s="600"/>
      <c r="B102" s="539" t="s">
        <v>2615</v>
      </c>
      <c r="C102" s="555"/>
      <c r="D102" s="555"/>
      <c r="E102" s="555"/>
      <c r="F102" s="555"/>
      <c r="G102" s="555"/>
      <c r="H102" s="584"/>
      <c r="I102" s="584"/>
      <c r="J102" s="584"/>
      <c r="K102" s="585"/>
      <c r="L102" s="586"/>
      <c r="M102" s="587"/>
      <c r="N102" s="1154"/>
      <c r="O102" s="1154"/>
      <c r="P102" s="45"/>
      <c r="Q102" s="505"/>
    </row>
    <row r="103" spans="1:17" ht="15.75" thickBot="1">
      <c r="A103" s="535"/>
      <c r="B103" s="544"/>
      <c r="C103" s="545">
        <v>100</v>
      </c>
      <c r="D103" s="545">
        <f t="shared" ref="D103:M103" si="22">C103-$K35</f>
        <v>100</v>
      </c>
      <c r="E103" s="545">
        <f t="shared" si="22"/>
        <v>100</v>
      </c>
      <c r="F103" s="545">
        <f t="shared" si="22"/>
        <v>100</v>
      </c>
      <c r="G103" s="545">
        <f t="shared" si="22"/>
        <v>100</v>
      </c>
      <c r="H103" s="545">
        <f t="shared" si="22"/>
        <v>100</v>
      </c>
      <c r="I103" s="545">
        <f t="shared" si="22"/>
        <v>100</v>
      </c>
      <c r="J103" s="545">
        <f t="shared" si="22"/>
        <v>100</v>
      </c>
      <c r="K103" s="545">
        <f t="shared" si="22"/>
        <v>100</v>
      </c>
      <c r="L103" s="545">
        <f t="shared" si="22"/>
        <v>100</v>
      </c>
      <c r="M103" s="546">
        <f t="shared" si="22"/>
        <v>100</v>
      </c>
      <c r="N103" s="1155"/>
      <c r="O103" s="1155"/>
      <c r="P103" s="45"/>
      <c r="Q103" s="505"/>
    </row>
    <row r="104" spans="1:17" ht="15" thickTop="1">
      <c r="A104" s="600"/>
      <c r="B104" s="539" t="s">
        <v>2617</v>
      </c>
      <c r="C104" s="555"/>
      <c r="D104" s="555"/>
      <c r="E104" s="555"/>
      <c r="F104" s="555"/>
      <c r="G104" s="555"/>
      <c r="H104" s="584"/>
      <c r="I104" s="584"/>
      <c r="J104" s="584"/>
      <c r="K104" s="585"/>
      <c r="L104" s="586"/>
      <c r="M104" s="587"/>
      <c r="N104" s="1154"/>
      <c r="O104" s="1154"/>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5"/>
      <c r="O105" s="1155"/>
      <c r="P105" s="45"/>
      <c r="Q105" s="505"/>
    </row>
    <row r="106" spans="1:17" ht="15" thickTop="1">
      <c r="A106" s="600"/>
      <c r="B106" s="637" t="s">
        <v>2703</v>
      </c>
      <c r="C106" s="579" t="s">
        <v>2594</v>
      </c>
      <c r="D106" s="579" t="s">
        <v>2595</v>
      </c>
      <c r="E106" s="579" t="s">
        <v>2596</v>
      </c>
      <c r="F106" s="579" t="s">
        <v>2597</v>
      </c>
      <c r="G106" s="579" t="s">
        <v>2598</v>
      </c>
      <c r="H106" s="540"/>
      <c r="I106" s="540"/>
      <c r="J106" s="540"/>
      <c r="K106" s="541"/>
      <c r="L106" s="542"/>
      <c r="M106" s="543"/>
      <c r="N106" s="1155"/>
      <c r="O106" s="1155"/>
      <c r="P106" s="638"/>
      <c r="Q106" s="639"/>
    </row>
    <row r="107" spans="1:17" ht="15.75" thickBot="1">
      <c r="A107" s="535"/>
      <c r="B107" s="544"/>
      <c r="C107" s="583">
        <v>100</v>
      </c>
      <c r="D107" s="545">
        <f t="shared" ref="D107:M107" si="23">C107-$K37</f>
        <v>100</v>
      </c>
      <c r="E107" s="545">
        <f t="shared" si="23"/>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5"/>
      <c r="O107" s="1155"/>
      <c r="P107" s="45"/>
      <c r="Q107" s="505"/>
    </row>
    <row r="108" spans="1:17" s="472" customFormat="1" ht="15" thickTop="1">
      <c r="A108" s="594"/>
      <c r="B108" s="539">
        <f>B38</f>
        <v>111</v>
      </c>
      <c r="C108" s="555"/>
      <c r="D108" s="555"/>
      <c r="E108" s="555"/>
      <c r="F108" s="555"/>
      <c r="G108" s="555"/>
      <c r="H108" s="556"/>
      <c r="I108" s="556"/>
      <c r="J108" s="556"/>
      <c r="K108" s="556"/>
      <c r="L108" s="557"/>
      <c r="M108" s="558"/>
      <c r="N108" s="1156"/>
      <c r="O108" s="1156"/>
      <c r="P108" s="559"/>
      <c r="Q108" s="560"/>
    </row>
    <row r="109" spans="1:17" s="472" customFormat="1" ht="15.75" thickBot="1">
      <c r="A109" s="554"/>
      <c r="B109" s="536"/>
      <c r="C109" s="561"/>
      <c r="D109" s="537"/>
      <c r="E109" s="537"/>
      <c r="F109" s="537"/>
      <c r="G109" s="561"/>
      <c r="H109" s="563"/>
      <c r="I109" s="563"/>
      <c r="J109" s="563"/>
      <c r="K109" s="563"/>
      <c r="L109" s="563"/>
      <c r="M109" s="564"/>
      <c r="N109" s="1156"/>
      <c r="O109" s="1156"/>
      <c r="P109" s="559"/>
      <c r="Q109" s="560"/>
    </row>
    <row r="110" spans="1:17" ht="15" thickTop="1">
      <c r="A110" s="600"/>
      <c r="B110" s="539">
        <f>B39</f>
        <v>111</v>
      </c>
      <c r="C110" s="555"/>
      <c r="D110" s="555"/>
      <c r="E110" s="555"/>
      <c r="F110" s="555"/>
      <c r="G110" s="555"/>
      <c r="H110" s="556"/>
      <c r="I110" s="556"/>
      <c r="J110" s="556"/>
      <c r="K110" s="556"/>
      <c r="L110" s="557"/>
      <c r="M110" s="558"/>
      <c r="N110" s="1154"/>
      <c r="O110" s="1154"/>
      <c r="P110" s="45"/>
      <c r="Q110" s="505"/>
    </row>
    <row r="111" spans="1:17" ht="15.75" thickBot="1">
      <c r="A111" s="535"/>
      <c r="B111" s="544"/>
      <c r="C111" s="561"/>
      <c r="D111" s="537"/>
      <c r="E111" s="537"/>
      <c r="F111" s="537"/>
      <c r="G111" s="561"/>
      <c r="H111" s="563"/>
      <c r="I111" s="563"/>
      <c r="J111" s="563"/>
      <c r="K111" s="563"/>
      <c r="L111" s="563"/>
      <c r="M111" s="564"/>
      <c r="N111" s="1155"/>
      <c r="O111" s="1155"/>
      <c r="P111" s="45"/>
      <c r="Q111" s="505"/>
    </row>
    <row r="112" spans="1:17" ht="15" thickTop="1">
      <c r="A112" s="600"/>
      <c r="B112" s="547">
        <f>B40</f>
        <v>111</v>
      </c>
      <c r="C112" s="524"/>
      <c r="D112" s="524"/>
      <c r="E112" s="524"/>
      <c r="F112" s="524"/>
      <c r="G112" s="588"/>
      <c r="H112" s="588"/>
      <c r="I112" s="588"/>
      <c r="J112" s="588"/>
      <c r="K112" s="524"/>
      <c r="L112" s="525"/>
      <c r="M112" s="591"/>
      <c r="N112" s="1154"/>
      <c r="O112" s="1154"/>
      <c r="P112" s="45"/>
      <c r="Q112" s="505"/>
    </row>
    <row r="113" spans="1:17" ht="15.75" thickBot="1">
      <c r="A113" s="2639"/>
      <c r="B113" s="570"/>
      <c r="C113" s="571"/>
      <c r="D113" s="571"/>
      <c r="E113" s="571"/>
      <c r="F113" s="571"/>
      <c r="G113" s="592"/>
      <c r="H113" s="592"/>
      <c r="I113" s="592"/>
      <c r="J113" s="592"/>
      <c r="K113" s="592"/>
      <c r="L113" s="592"/>
      <c r="M113" s="593"/>
      <c r="N113" s="1155"/>
      <c r="O113" s="1155"/>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2704</v>
      </c>
      <c r="B1" s="1622"/>
      <c r="C1" s="1623" t="s">
        <v>2528</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9" customFormat="1" ht="28.5" customHeight="1" thickTop="1">
      <c r="A2" s="1620" t="s">
        <v>2325</v>
      </c>
      <c r="B2" s="1420" t="e">
        <f ca="1">IF(C2="——",IF(B37="元/平方米",ROUND(C39*D3/10000,0),ROUND(F3*C39/10000,0)),IF(B37="元/平方米",ROUND(C39*D3/10000,0),ROUND(F3*C39/10000,0))-D2)</f>
        <v>#DIV/0!</v>
      </c>
      <c r="C2" s="2589"/>
      <c r="D2" s="1126" t="e">
        <f ca="1">SUMIF(INDIRECT("'"&amp;F2&amp;"'"&amp;"!A:A"),"承租人权益价值",INDIRECT("'"&amp;F2&amp;"'"&amp;"!c:c"))</f>
        <v>#REF!</v>
      </c>
      <c r="E2" s="2590" t="s">
        <v>2326</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9" customFormat="1" ht="28.5" customHeight="1" thickBot="1">
      <c r="A3" s="248" t="s">
        <v>2327</v>
      </c>
      <c r="B3" s="610" t="e">
        <f ca="1">IF(AND(C2="——",B37="元/平方米"),C39,ROUND(B2*10000/D3,0))</f>
        <v>#DIV/0!</v>
      </c>
      <c r="C3" s="401" t="s">
        <v>2641</v>
      </c>
      <c r="D3" s="400">
        <f>SUMIF('数据-汇总表'!$C19:$C33,D1,'数据-汇总表'!$E19:$E33)</f>
        <v>0</v>
      </c>
      <c r="E3" s="401" t="s">
        <v>2705</v>
      </c>
      <c r="F3" s="400">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2" t="s">
        <v>2642</v>
      </c>
      <c r="B4" s="403"/>
      <c r="C4" s="3165" t="s">
        <v>2643</v>
      </c>
      <c r="D4" s="3166"/>
      <c r="E4" s="3167" t="s">
        <v>2644</v>
      </c>
      <c r="F4" s="3168"/>
      <c r="G4" s="3165" t="s">
        <v>2645</v>
      </c>
      <c r="H4" s="3166"/>
      <c r="I4" s="3165" t="s">
        <v>2646</v>
      </c>
      <c r="J4" s="3166"/>
      <c r="K4" s="611" t="s">
        <v>2647</v>
      </c>
      <c r="L4" s="1132"/>
      <c r="M4" s="1133"/>
      <c r="N4" s="1133"/>
      <c r="O4" s="1133"/>
      <c r="P4" s="3169" t="s">
        <v>2648</v>
      </c>
      <c r="Q4" s="3170"/>
      <c r="R4" s="3151" t="s">
        <v>2644</v>
      </c>
      <c r="S4" s="3152"/>
      <c r="T4" s="3151" t="s">
        <v>2645</v>
      </c>
      <c r="U4" s="3152"/>
      <c r="V4" s="3177" t="s">
        <v>2646</v>
      </c>
      <c r="W4" s="3177"/>
      <c r="X4" s="1816"/>
      <c r="Y4" s="3151" t="s">
        <v>2648</v>
      </c>
      <c r="Z4" s="3152"/>
      <c r="AA4" s="3146" t="s">
        <v>2644</v>
      </c>
      <c r="AB4" s="3147" t="s">
        <v>2645</v>
      </c>
      <c r="AC4" s="3146" t="s">
        <v>2646</v>
      </c>
    </row>
    <row r="5" spans="1:29" ht="15">
      <c r="A5" s="405"/>
      <c r="B5" s="406"/>
      <c r="C5" s="3157" t="s">
        <v>2540</v>
      </c>
      <c r="D5" s="3158"/>
      <c r="E5" s="3227" t="s">
        <v>2541</v>
      </c>
      <c r="F5" s="3156"/>
      <c r="G5" s="3157" t="s">
        <v>2542</v>
      </c>
      <c r="H5" s="3158"/>
      <c r="I5" s="3157" t="s">
        <v>2543</v>
      </c>
      <c r="J5" s="3158"/>
      <c r="K5" s="611"/>
      <c r="L5" s="1132"/>
      <c r="M5" s="1133"/>
      <c r="N5" s="1133"/>
      <c r="O5" s="1133"/>
      <c r="P5" s="3171"/>
      <c r="Q5" s="3172"/>
      <c r="R5" s="3153"/>
      <c r="S5" s="3154"/>
      <c r="T5" s="3153"/>
      <c r="U5" s="3154"/>
      <c r="V5" s="3177"/>
      <c r="W5" s="3177"/>
      <c r="X5" s="1816"/>
      <c r="Y5" s="3153"/>
      <c r="Z5" s="3154"/>
      <c r="AA5" s="3147"/>
      <c r="AB5" s="3147"/>
      <c r="AC5" s="3147"/>
    </row>
    <row r="6" spans="1:29" ht="15.75" thickBot="1">
      <c r="A6" s="407"/>
      <c r="B6" s="408"/>
      <c r="C6" s="3159" t="s">
        <v>2544</v>
      </c>
      <c r="D6" s="3160"/>
      <c r="E6" s="3162" t="s">
        <v>2544</v>
      </c>
      <c r="F6" s="3163"/>
      <c r="G6" s="3159" t="s">
        <v>2544</v>
      </c>
      <c r="H6" s="3160"/>
      <c r="I6" s="3159" t="s">
        <v>2544</v>
      </c>
      <c r="J6" s="3160"/>
      <c r="K6" s="611" t="s">
        <v>2545</v>
      </c>
      <c r="L6" s="1132"/>
      <c r="M6" s="1133"/>
      <c r="N6" s="1133"/>
      <c r="O6" s="1133"/>
      <c r="P6" s="3173"/>
      <c r="Q6" s="3174"/>
      <c r="R6" s="3153"/>
      <c r="S6" s="3154"/>
      <c r="T6" s="3175"/>
      <c r="U6" s="3176"/>
      <c r="V6" s="3177"/>
      <c r="W6" s="3177"/>
      <c r="X6" s="1816"/>
      <c r="Y6" s="3175"/>
      <c r="Z6" s="3176"/>
      <c r="AA6" s="3148"/>
      <c r="AB6" s="3148"/>
      <c r="AC6" s="3148"/>
    </row>
    <row r="7" spans="1:29" s="117" customFormat="1" ht="15.75" thickBot="1">
      <c r="A7" s="409" t="s">
        <v>2546</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4"/>
      <c r="M7" s="1135"/>
      <c r="N7" s="1135"/>
      <c r="O7" s="1135"/>
      <c r="P7" s="3149" t="s">
        <v>2547</v>
      </c>
      <c r="Q7" s="3178"/>
      <c r="R7" s="769" t="s">
        <v>17</v>
      </c>
      <c r="S7" s="770">
        <f t="shared" ref="S7:S14" si="0">F7</f>
        <v>0</v>
      </c>
      <c r="T7" s="769" t="s">
        <v>17</v>
      </c>
      <c r="U7" s="770">
        <f t="shared" ref="U7:U14" si="1">H7</f>
        <v>0</v>
      </c>
      <c r="V7" s="769" t="s">
        <v>17</v>
      </c>
      <c r="W7" s="770">
        <f t="shared" ref="W7:W14" si="2">J7</f>
        <v>0</v>
      </c>
      <c r="X7" s="771"/>
      <c r="Y7" s="3149" t="s">
        <v>2547</v>
      </c>
      <c r="Z7" s="3150"/>
      <c r="AA7" s="772" t="e">
        <f>D7/F7</f>
        <v>#DIV/0!</v>
      </c>
      <c r="AB7" s="772" t="e">
        <f>D7/H7</f>
        <v>#DIV/0!</v>
      </c>
      <c r="AC7" s="772" t="e">
        <f>D7/J7</f>
        <v>#DIV/0!</v>
      </c>
    </row>
    <row r="8" spans="1:29" s="117" customFormat="1" ht="15.75" thickBot="1">
      <c r="A8" s="409" t="s">
        <v>2548</v>
      </c>
      <c r="B8" s="410"/>
      <c r="C8" s="415" t="s">
        <v>2649</v>
      </c>
      <c r="D8" s="412">
        <v>100</v>
      </c>
      <c r="E8" s="415"/>
      <c r="F8" s="414">
        <f>SUMIF(51:51,E8,52:52)-SUMIF(51:51,C8,52:52)+100</f>
        <v>0</v>
      </c>
      <c r="G8" s="415"/>
      <c r="H8" s="412">
        <f>SUMIF(51:51,G8,52:52)-SUMIF(51:51,C8,52:52)+100</f>
        <v>0</v>
      </c>
      <c r="I8" s="415"/>
      <c r="J8" s="412">
        <f>SUMIF(51:51,I8,52:52)-SUMIF(51:51,C8,52:52)+100</f>
        <v>0</v>
      </c>
      <c r="K8" s="612"/>
      <c r="L8" s="1134"/>
      <c r="M8" s="1135"/>
      <c r="N8" s="1135"/>
      <c r="O8" s="1135"/>
      <c r="P8" s="3149" t="s">
        <v>2550</v>
      </c>
      <c r="Q8" s="3150"/>
      <c r="R8" s="769" t="s">
        <v>17</v>
      </c>
      <c r="S8" s="770">
        <f t="shared" si="0"/>
        <v>0</v>
      </c>
      <c r="T8" s="769" t="s">
        <v>17</v>
      </c>
      <c r="U8" s="770">
        <f t="shared" si="1"/>
        <v>0</v>
      </c>
      <c r="V8" s="769" t="s">
        <v>17</v>
      </c>
      <c r="W8" s="770">
        <f t="shared" si="2"/>
        <v>0</v>
      </c>
      <c r="X8" s="771"/>
      <c r="Y8" s="3149" t="s">
        <v>2550</v>
      </c>
      <c r="Z8" s="3150"/>
      <c r="AA8" s="772" t="e">
        <f t="shared" ref="AA8:AA36" si="3">D8/F8</f>
        <v>#DIV/0!</v>
      </c>
      <c r="AB8" s="772" t="e">
        <f t="shared" ref="AB8:AB36" si="4">D8/H8</f>
        <v>#DIV/0!</v>
      </c>
      <c r="AC8" s="772"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4"/>
      <c r="M9" s="1135"/>
      <c r="N9" s="1135"/>
      <c r="O9" s="1135"/>
      <c r="P9" s="3182" t="s">
        <v>2553</v>
      </c>
      <c r="Q9" s="1798" t="str">
        <f t="shared" ref="Q9:Q14" si="6">B9</f>
        <v>用途</v>
      </c>
      <c r="R9" s="769" t="s">
        <v>17</v>
      </c>
      <c r="S9" s="770">
        <f t="shared" si="0"/>
        <v>100</v>
      </c>
      <c r="T9" s="769" t="s">
        <v>17</v>
      </c>
      <c r="U9" s="770">
        <f t="shared" si="1"/>
        <v>100</v>
      </c>
      <c r="V9" s="769" t="s">
        <v>17</v>
      </c>
      <c r="W9" s="770">
        <f t="shared" si="2"/>
        <v>100</v>
      </c>
      <c r="X9" s="771"/>
      <c r="Y9" s="3026" t="s">
        <v>2554</v>
      </c>
      <c r="Z9" s="55" t="str">
        <f t="shared" ref="Z9:Z14" si="7">Q9</f>
        <v>用途</v>
      </c>
      <c r="AA9" s="772">
        <f t="shared" si="3"/>
        <v>1</v>
      </c>
      <c r="AB9" s="772">
        <f t="shared" si="4"/>
        <v>1</v>
      </c>
      <c r="AC9" s="772">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7"/>
      <c r="M10" s="1138"/>
      <c r="N10" s="1138"/>
      <c r="O10" s="1138"/>
      <c r="P10" s="3182"/>
      <c r="Q10" s="1798"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772">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0"/>
      <c r="M11" s="1133"/>
      <c r="N11" s="1133"/>
      <c r="O11" s="1133"/>
      <c r="P11" s="3182"/>
      <c r="Q11" s="1798">
        <f t="shared" si="6"/>
        <v>111</v>
      </c>
      <c r="R11" s="769" t="s">
        <v>17</v>
      </c>
      <c r="S11" s="770">
        <f t="shared" si="0"/>
        <v>100</v>
      </c>
      <c r="T11" s="769" t="s">
        <v>17</v>
      </c>
      <c r="U11" s="770">
        <f t="shared" si="1"/>
        <v>100</v>
      </c>
      <c r="V11" s="769" t="s">
        <v>17</v>
      </c>
      <c r="W11" s="770">
        <f t="shared" si="2"/>
        <v>100</v>
      </c>
      <c r="X11" s="771"/>
      <c r="Y11" s="3026"/>
      <c r="Z11" s="55">
        <f t="shared" si="7"/>
        <v>111</v>
      </c>
      <c r="AA11" s="772">
        <f t="shared" si="3"/>
        <v>1</v>
      </c>
      <c r="AB11" s="772">
        <f t="shared" si="4"/>
        <v>1</v>
      </c>
      <c r="AC11" s="772">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4"/>
      <c r="M12" s="1135"/>
      <c r="N12" s="1135"/>
      <c r="O12" s="1135"/>
      <c r="P12" s="3182"/>
      <c r="Q12" s="1798">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2"/>
      <c r="M13" s="1133"/>
      <c r="N13" s="1133"/>
      <c r="O13" s="1133"/>
      <c r="P13" s="3182"/>
      <c r="Q13" s="1798">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71.25">
      <c r="A14" s="402" t="s">
        <v>2557</v>
      </c>
      <c r="B14" s="630" t="s">
        <v>2706</v>
      </c>
      <c r="C14" s="2696" t="str">
        <f>IF(B1="工业",估价对象房地状况!G4,估价对象房地状况!C6)</f>
        <v>估价对象周边道路通达、公共交通通达、停车便捷，综合评价交通便捷度好</v>
      </c>
      <c r="D14" s="442">
        <v>100</v>
      </c>
      <c r="E14" s="443"/>
      <c r="F14" s="444">
        <f>SUMIF(63:63,E15,64:64)-SUMIF(63:63,C15,64:64)+100</f>
        <v>100</v>
      </c>
      <c r="G14" s="445"/>
      <c r="H14" s="442">
        <f>SUMIF(63:63,G15,64:64)-SUMIF(63:63,C15,64:64)+100</f>
        <v>100</v>
      </c>
      <c r="I14" s="443"/>
      <c r="J14" s="442">
        <f>SUMIF(63:63,I15,64:64)-SUMIF(63:63,C15,64:64)+100</f>
        <v>100</v>
      </c>
      <c r="K14" s="615"/>
      <c r="L14" s="1142"/>
      <c r="M14" s="1133"/>
      <c r="N14" s="1133"/>
      <c r="O14" s="1133"/>
      <c r="P14" s="3184" t="s">
        <v>2558</v>
      </c>
      <c r="Q14" s="1813" t="str">
        <f t="shared" si="6"/>
        <v>交通便捷度</v>
      </c>
      <c r="R14" s="773" t="s">
        <v>17</v>
      </c>
      <c r="S14" s="774">
        <f t="shared" si="0"/>
        <v>100</v>
      </c>
      <c r="T14" s="773" t="s">
        <v>17</v>
      </c>
      <c r="U14" s="774">
        <f t="shared" si="1"/>
        <v>100</v>
      </c>
      <c r="V14" s="773" t="s">
        <v>17</v>
      </c>
      <c r="W14" s="774">
        <f t="shared" si="2"/>
        <v>100</v>
      </c>
      <c r="X14" s="1816"/>
      <c r="Y14" s="3184" t="s">
        <v>2558</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2"/>
      <c r="M15" s="1133"/>
      <c r="N15" s="1133"/>
      <c r="O15" s="1133"/>
      <c r="P15" s="3185"/>
      <c r="Q15" s="1813"/>
      <c r="R15" s="773"/>
      <c r="S15" s="774"/>
      <c r="T15" s="773"/>
      <c r="U15" s="774"/>
      <c r="V15" s="773"/>
      <c r="W15" s="774"/>
      <c r="X15" s="1816"/>
      <c r="Y15" s="3185"/>
      <c r="Z15" s="1817"/>
      <c r="AA15" s="1814">
        <v>1</v>
      </c>
      <c r="AB15" s="1814">
        <v>1</v>
      </c>
      <c r="AC15" s="1814">
        <v>1</v>
      </c>
    </row>
    <row r="16" spans="1:29" ht="42.75">
      <c r="A16" s="405"/>
      <c r="B16" s="632" t="s">
        <v>2685</v>
      </c>
      <c r="C16" s="2610"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2"/>
      <c r="M16" s="1133"/>
      <c r="N16" s="1133"/>
      <c r="O16" s="1133"/>
      <c r="P16" s="3185"/>
      <c r="Q16" s="1813" t="str">
        <f>B16</f>
        <v>公共配套设施</v>
      </c>
      <c r="R16" s="773" t="s">
        <v>17</v>
      </c>
      <c r="S16" s="774">
        <f>F16</f>
        <v>100</v>
      </c>
      <c r="T16" s="773" t="s">
        <v>17</v>
      </c>
      <c r="U16" s="774">
        <f>H16</f>
        <v>100</v>
      </c>
      <c r="V16" s="773" t="s">
        <v>17</v>
      </c>
      <c r="W16" s="774">
        <f>J16</f>
        <v>100</v>
      </c>
      <c r="X16" s="1816"/>
      <c r="Y16" s="3185"/>
      <c r="Z16" s="1817" t="str">
        <f>Q16</f>
        <v>公共配套设施</v>
      </c>
      <c r="AA16" s="1814">
        <f t="shared" si="3"/>
        <v>1</v>
      </c>
      <c r="AB16" s="1814">
        <f t="shared" si="4"/>
        <v>1</v>
      </c>
      <c r="AC16" s="1814">
        <f t="shared" si="5"/>
        <v>1</v>
      </c>
    </row>
    <row r="17" spans="1:29" ht="15">
      <c r="A17" s="405"/>
      <c r="B17" s="633"/>
      <c r="C17" s="2611"/>
      <c r="D17" s="449"/>
      <c r="E17" s="448"/>
      <c r="F17" s="450"/>
      <c r="G17" s="448"/>
      <c r="H17" s="449"/>
      <c r="I17" s="448"/>
      <c r="J17" s="449"/>
      <c r="K17" s="616"/>
      <c r="L17" s="1142"/>
      <c r="M17" s="1133"/>
      <c r="N17" s="1133"/>
      <c r="O17" s="1133"/>
      <c r="P17" s="3185"/>
      <c r="Q17" s="1813"/>
      <c r="R17" s="773"/>
      <c r="S17" s="774"/>
      <c r="T17" s="773"/>
      <c r="U17" s="774"/>
      <c r="V17" s="773"/>
      <c r="W17" s="774"/>
      <c r="X17" s="1816"/>
      <c r="Y17" s="3185"/>
      <c r="Z17" s="1817"/>
      <c r="AA17" s="1814">
        <v>1</v>
      </c>
      <c r="AB17" s="1814">
        <v>1</v>
      </c>
      <c r="AC17" s="1814">
        <v>1</v>
      </c>
    </row>
    <row r="18" spans="1:29" ht="42.75">
      <c r="A18" s="405"/>
      <c r="B18" s="634" t="s">
        <v>2686</v>
      </c>
      <c r="C18" s="2610" t="str">
        <f>IF(B1="工业",估价对象房地状况!G6,估价对象房地状况!C8)</f>
        <v>估价对象所在区域基础设施水平七通</v>
      </c>
      <c r="D18" s="451">
        <v>100</v>
      </c>
      <c r="E18" s="453"/>
      <c r="F18" s="459">
        <f>SUMIF(67:67,E19,68:68)-SUMIF(67:67,C19,68:68)+100</f>
        <v>100</v>
      </c>
      <c r="G18" s="455"/>
      <c r="H18" s="456">
        <f>SUMIF(67:67,G19,68:68)-SUMIF(67:67,C19,68:68)+100</f>
        <v>100</v>
      </c>
      <c r="I18" s="453"/>
      <c r="J18" s="456">
        <f>SUMIF(67:67,I19,68:68)-SUMIF(67:67,C19,68:68)+100</f>
        <v>100</v>
      </c>
      <c r="K18" s="615"/>
      <c r="L18" s="1142"/>
      <c r="M18" s="1133"/>
      <c r="N18" s="1133"/>
      <c r="O18" s="1133"/>
      <c r="P18" s="3185"/>
      <c r="Q18" s="1813" t="str">
        <f>B18</f>
        <v>基础设施水平</v>
      </c>
      <c r="R18" s="773" t="s">
        <v>17</v>
      </c>
      <c r="S18" s="774">
        <f>F18</f>
        <v>100</v>
      </c>
      <c r="T18" s="773" t="s">
        <v>17</v>
      </c>
      <c r="U18" s="774">
        <f>H18</f>
        <v>100</v>
      </c>
      <c r="V18" s="773" t="s">
        <v>17</v>
      </c>
      <c r="W18" s="774">
        <f>J18</f>
        <v>100</v>
      </c>
      <c r="X18" s="1816"/>
      <c r="Y18" s="3185"/>
      <c r="Z18" s="1817" t="str">
        <f>Q18</f>
        <v>基础设施水平</v>
      </c>
      <c r="AA18" s="1814">
        <f>D18/F18</f>
        <v>1</v>
      </c>
      <c r="AB18" s="1814">
        <f>D18/H18</f>
        <v>1</v>
      </c>
      <c r="AC18" s="1814">
        <f>D18/J18</f>
        <v>1</v>
      </c>
    </row>
    <row r="19" spans="1:29" ht="15">
      <c r="A19" s="405"/>
      <c r="B19" s="634"/>
      <c r="C19" s="2611"/>
      <c r="D19" s="451"/>
      <c r="E19" s="2611"/>
      <c r="F19" s="454"/>
      <c r="G19" s="2611"/>
      <c r="H19" s="449"/>
      <c r="I19" s="448"/>
      <c r="J19" s="449"/>
      <c r="K19" s="1385"/>
      <c r="L19" s="1142"/>
      <c r="M19" s="1133"/>
      <c r="N19" s="1133"/>
      <c r="O19" s="1133"/>
      <c r="P19" s="3185"/>
      <c r="Q19" s="1813"/>
      <c r="R19" s="773"/>
      <c r="S19" s="774"/>
      <c r="T19" s="773"/>
      <c r="U19" s="774"/>
      <c r="V19" s="773"/>
      <c r="W19" s="774"/>
      <c r="X19" s="1816"/>
      <c r="Y19" s="3185"/>
      <c r="Z19" s="1817"/>
      <c r="AA19" s="1814">
        <v>1</v>
      </c>
      <c r="AB19" s="1814">
        <v>1</v>
      </c>
      <c r="AC19" s="1814">
        <v>1</v>
      </c>
    </row>
    <row r="20" spans="1:29" ht="57">
      <c r="A20" s="405"/>
      <c r="B20" s="632" t="s">
        <v>2707</v>
      </c>
      <c r="C20" s="2610" t="str">
        <f>IF(B1="工业",估价对象房地状况!G7,估价对象房地状况!C9)</f>
        <v>区域自然环境较好；人文环境较好；综合评价环境状况较好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2"/>
      <c r="M20" s="1133"/>
      <c r="N20" s="1133"/>
      <c r="O20" s="1133"/>
      <c r="P20" s="3185"/>
      <c r="Q20" s="1813" t="str">
        <f>B20</f>
        <v>自然及人文环境</v>
      </c>
      <c r="R20" s="773" t="s">
        <v>17</v>
      </c>
      <c r="S20" s="774">
        <f>F20</f>
        <v>100</v>
      </c>
      <c r="T20" s="773" t="s">
        <v>17</v>
      </c>
      <c r="U20" s="774">
        <f>H20</f>
        <v>100</v>
      </c>
      <c r="V20" s="773" t="s">
        <v>17</v>
      </c>
      <c r="W20" s="774">
        <f>J20</f>
        <v>100</v>
      </c>
      <c r="X20" s="1816"/>
      <c r="Y20" s="3185"/>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2"/>
      <c r="M21" s="1133"/>
      <c r="N21" s="1133"/>
      <c r="O21" s="1133"/>
      <c r="P21" s="3185"/>
      <c r="Q21" s="1813"/>
      <c r="R21" s="773"/>
      <c r="S21" s="774"/>
      <c r="T21" s="773"/>
      <c r="U21" s="774"/>
      <c r="V21" s="773"/>
      <c r="W21" s="774"/>
      <c r="X21" s="1816"/>
      <c r="Y21" s="3185"/>
      <c r="Z21" s="1817"/>
      <c r="AA21" s="1814">
        <v>1</v>
      </c>
      <c r="AB21" s="1814">
        <v>1</v>
      </c>
      <c r="AC21" s="1814">
        <v>1</v>
      </c>
    </row>
    <row r="22" spans="1:29" ht="15">
      <c r="A22" s="405"/>
      <c r="B22" s="632" t="s">
        <v>2708</v>
      </c>
      <c r="C22" s="617"/>
      <c r="D22" s="451">
        <v>100</v>
      </c>
      <c r="E22" s="617"/>
      <c r="F22" s="462">
        <f>SUMIF(71:71,E22,72:72)-SUMIF(71:71,C22,72:72)+100</f>
        <v>100</v>
      </c>
      <c r="G22" s="617"/>
      <c r="H22" s="436">
        <f>SUMIF(71:71,G22,72:72)-SUMIF(71:71,C22,72:72)+100</f>
        <v>100</v>
      </c>
      <c r="I22" s="617"/>
      <c r="J22" s="436">
        <f>SUMIF(71:71,I22,72:72)-SUMIF(71:71,C22,72:72)+100</f>
        <v>100</v>
      </c>
      <c r="K22" s="613"/>
      <c r="L22" s="1142"/>
      <c r="M22" s="1133"/>
      <c r="N22" s="1133"/>
      <c r="O22" s="1133"/>
      <c r="P22" s="3185"/>
      <c r="Q22" s="1813" t="str">
        <f>B22</f>
        <v>楼层</v>
      </c>
      <c r="R22" s="773" t="s">
        <v>17</v>
      </c>
      <c r="S22" s="774">
        <f>F22</f>
        <v>100</v>
      </c>
      <c r="T22" s="773" t="s">
        <v>17</v>
      </c>
      <c r="U22" s="774">
        <f>H22</f>
        <v>100</v>
      </c>
      <c r="V22" s="773" t="s">
        <v>17</v>
      </c>
      <c r="W22" s="774">
        <f>J22</f>
        <v>100</v>
      </c>
      <c r="X22" s="1816"/>
      <c r="Y22" s="3185"/>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2"/>
      <c r="M23" s="1133"/>
      <c r="N23" s="1133"/>
      <c r="O23" s="1133"/>
      <c r="P23" s="3185"/>
      <c r="Q23" s="1813">
        <f>B23</f>
        <v>111</v>
      </c>
      <c r="R23" s="773" t="s">
        <v>17</v>
      </c>
      <c r="S23" s="774">
        <f>F23</f>
        <v>100</v>
      </c>
      <c r="T23" s="773" t="s">
        <v>17</v>
      </c>
      <c r="U23" s="774">
        <f>H23</f>
        <v>100</v>
      </c>
      <c r="V23" s="773" t="s">
        <v>17</v>
      </c>
      <c r="W23" s="774">
        <f>J23</f>
        <v>100</v>
      </c>
      <c r="X23" s="1816"/>
      <c r="Y23" s="3185"/>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2"/>
      <c r="M24" s="1133"/>
      <c r="N24" s="1133"/>
      <c r="O24" s="1133"/>
      <c r="P24" s="3185"/>
      <c r="Q24" s="1813">
        <f t="shared" ref="Q24:Q36" si="8">B24</f>
        <v>111</v>
      </c>
      <c r="R24" s="773" t="s">
        <v>17</v>
      </c>
      <c r="S24" s="774">
        <f>F24</f>
        <v>100</v>
      </c>
      <c r="T24" s="773" t="s">
        <v>17</v>
      </c>
      <c r="U24" s="774">
        <f>H24</f>
        <v>100</v>
      </c>
      <c r="V24" s="773" t="s">
        <v>17</v>
      </c>
      <c r="W24" s="774">
        <f>J24</f>
        <v>100</v>
      </c>
      <c r="X24" s="1816"/>
      <c r="Y24" s="3185"/>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4"/>
      <c r="M25" s="1135"/>
      <c r="N25" s="1135"/>
      <c r="O25" s="1135"/>
      <c r="P25" s="3185"/>
      <c r="Q25" s="1798">
        <f t="shared" si="8"/>
        <v>111</v>
      </c>
      <c r="R25" s="769" t="s">
        <v>17</v>
      </c>
      <c r="S25" s="770">
        <f>F25</f>
        <v>100</v>
      </c>
      <c r="T25" s="769" t="s">
        <v>17</v>
      </c>
      <c r="U25" s="770">
        <f>H25</f>
        <v>100</v>
      </c>
      <c r="V25" s="769" t="s">
        <v>17</v>
      </c>
      <c r="W25" s="770">
        <f>J25</f>
        <v>100</v>
      </c>
      <c r="X25" s="771"/>
      <c r="Y25" s="3185"/>
      <c r="Z25" s="55">
        <f>Q25</f>
        <v>111</v>
      </c>
      <c r="AA25" s="1814">
        <f>D25/F25</f>
        <v>1</v>
      </c>
      <c r="AB25" s="1814">
        <f>D25/H25</f>
        <v>1</v>
      </c>
      <c r="AC25" s="1814">
        <f>D25/J25</f>
        <v>1</v>
      </c>
    </row>
    <row r="26" spans="1:29" ht="15">
      <c r="A26" s="653" t="s">
        <v>2561</v>
      </c>
      <c r="B26" s="70" t="s">
        <v>2709</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2"/>
      <c r="M26" s="1133"/>
      <c r="N26" s="1133"/>
      <c r="O26" s="1133"/>
      <c r="P26" s="3243" t="s">
        <v>2563</v>
      </c>
      <c r="Q26" s="1813" t="str">
        <f t="shared" si="8"/>
        <v>配套类型</v>
      </c>
      <c r="R26" s="773" t="s">
        <v>17</v>
      </c>
      <c r="S26" s="774">
        <f t="shared" ref="S26:S36" si="9">F26</f>
        <v>100</v>
      </c>
      <c r="T26" s="773" t="s">
        <v>17</v>
      </c>
      <c r="U26" s="774">
        <f t="shared" ref="U26:U36" si="10">H26</f>
        <v>100</v>
      </c>
      <c r="V26" s="773" t="s">
        <v>17</v>
      </c>
      <c r="W26" s="774">
        <f t="shared" ref="W26:W36" si="11">J26</f>
        <v>100</v>
      </c>
      <c r="X26" s="1816"/>
      <c r="Y26" s="3189" t="s">
        <v>2563</v>
      </c>
      <c r="Z26" s="1817" t="str">
        <f t="shared" ref="Z26:Z36" si="12">Q26</f>
        <v>配套类型</v>
      </c>
      <c r="AA26" s="1814">
        <f t="shared" si="3"/>
        <v>1</v>
      </c>
      <c r="AB26" s="1814">
        <f t="shared" si="4"/>
        <v>1</v>
      </c>
      <c r="AC26" s="1814">
        <f t="shared" si="5"/>
        <v>1</v>
      </c>
    </row>
    <row r="27" spans="1:29" s="472" customFormat="1" ht="15">
      <c r="A27" s="654"/>
      <c r="B27" s="655" t="s">
        <v>2710</v>
      </c>
      <c r="C27" s="656"/>
      <c r="D27" s="136">
        <v>100</v>
      </c>
      <c r="E27" s="656"/>
      <c r="F27" s="462">
        <f>SUMIF(81:81,E27,82:82)-SUMIF(81:81,C27,82:82)+100</f>
        <v>100</v>
      </c>
      <c r="G27" s="656"/>
      <c r="H27" s="436">
        <f>SUMIF(81:81,G27,82:82)-SUMIF(81:81,C27,82:82)+100</f>
        <v>100</v>
      </c>
      <c r="I27" s="656"/>
      <c r="J27" s="436">
        <f>SUMIF(81:81,I27,82:82)-SUMIF(81:81,C27,82:82)+100</f>
        <v>100</v>
      </c>
      <c r="K27" s="614"/>
      <c r="L27" s="1140"/>
      <c r="M27" s="1143"/>
      <c r="N27" s="1143"/>
      <c r="O27" s="1143"/>
      <c r="P27" s="3189"/>
      <c r="Q27" s="775" t="str">
        <f t="shared" si="8"/>
        <v>项目停车位配比</v>
      </c>
      <c r="R27" s="776" t="s">
        <v>17</v>
      </c>
      <c r="S27" s="777">
        <f t="shared" si="9"/>
        <v>100</v>
      </c>
      <c r="T27" s="776" t="s">
        <v>17</v>
      </c>
      <c r="U27" s="777">
        <f t="shared" si="10"/>
        <v>100</v>
      </c>
      <c r="V27" s="776" t="s">
        <v>17</v>
      </c>
      <c r="W27" s="777">
        <f t="shared" si="11"/>
        <v>100</v>
      </c>
      <c r="X27" s="778"/>
      <c r="Y27" s="3189"/>
      <c r="Z27" s="779" t="str">
        <f t="shared" si="12"/>
        <v>项目停车位配比</v>
      </c>
      <c r="AA27" s="1814">
        <f t="shared" si="3"/>
        <v>1</v>
      </c>
      <c r="AB27" s="1814">
        <f t="shared" si="4"/>
        <v>1</v>
      </c>
      <c r="AC27" s="1814">
        <f t="shared" si="5"/>
        <v>1</v>
      </c>
    </row>
    <row r="28" spans="1:29" ht="15">
      <c r="A28" s="657"/>
      <c r="B28" s="655" t="s">
        <v>2711</v>
      </c>
      <c r="C28" s="461"/>
      <c r="D28" s="436">
        <v>100</v>
      </c>
      <c r="E28" s="461"/>
      <c r="F28" s="462">
        <f>SUMIF(83:83,E28,84:84)-SUMIF(83:83,C28,84:84)+100</f>
        <v>100</v>
      </c>
      <c r="G28" s="461"/>
      <c r="H28" s="436">
        <f>SUMIF(83:83,G28,84:84)-SUMIF(83:83,C28,84:84)+100</f>
        <v>100</v>
      </c>
      <c r="I28" s="461"/>
      <c r="J28" s="436">
        <f>SUMIF(83:83,I28,84:84)-SUMIF(83:83,C28,84:84)+100</f>
        <v>100</v>
      </c>
      <c r="K28" s="613"/>
      <c r="L28" s="1142"/>
      <c r="M28" s="1133"/>
      <c r="N28" s="1133"/>
      <c r="O28" s="1133"/>
      <c r="P28" s="3189"/>
      <c r="Q28" s="1813" t="str">
        <f t="shared" si="8"/>
        <v>公共部分装修</v>
      </c>
      <c r="R28" s="773" t="s">
        <v>17</v>
      </c>
      <c r="S28" s="774">
        <f t="shared" si="9"/>
        <v>100</v>
      </c>
      <c r="T28" s="773" t="s">
        <v>17</v>
      </c>
      <c r="U28" s="774">
        <f t="shared" si="10"/>
        <v>100</v>
      </c>
      <c r="V28" s="773" t="s">
        <v>17</v>
      </c>
      <c r="W28" s="774">
        <f t="shared" si="11"/>
        <v>100</v>
      </c>
      <c r="X28" s="1816"/>
      <c r="Y28" s="3189"/>
      <c r="Z28" s="1817" t="str">
        <f t="shared" si="12"/>
        <v>公共部分装修</v>
      </c>
      <c r="AA28" s="1814">
        <f t="shared" si="3"/>
        <v>1</v>
      </c>
      <c r="AB28" s="1814">
        <f t="shared" si="4"/>
        <v>1</v>
      </c>
      <c r="AC28" s="1814">
        <f t="shared" si="5"/>
        <v>1</v>
      </c>
    </row>
    <row r="29" spans="1:29" ht="15">
      <c r="A29" s="657"/>
      <c r="B29" s="655" t="s">
        <v>2712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2"/>
      <c r="M29" s="1133"/>
      <c r="N29" s="1133"/>
      <c r="O29" s="1133"/>
      <c r="P29" s="3189"/>
      <c r="Q29" s="1813" t="str">
        <f t="shared" si="8"/>
        <v>成新率</v>
      </c>
      <c r="R29" s="773" t="s">
        <v>17</v>
      </c>
      <c r="S29" s="774" t="e">
        <f t="shared" si="9"/>
        <v>#N/A</v>
      </c>
      <c r="T29" s="773" t="s">
        <v>17</v>
      </c>
      <c r="U29" s="774" t="e">
        <f t="shared" si="10"/>
        <v>#N/A</v>
      </c>
      <c r="V29" s="773" t="s">
        <v>17</v>
      </c>
      <c r="W29" s="774" t="e">
        <f t="shared" si="11"/>
        <v>#N/A</v>
      </c>
      <c r="X29" s="1816"/>
      <c r="Y29" s="3189"/>
      <c r="Z29" s="1817" t="str">
        <f t="shared" si="12"/>
        <v>成新率</v>
      </c>
      <c r="AA29" s="1814" t="e">
        <f t="shared" si="3"/>
        <v>#N/A</v>
      </c>
      <c r="AB29" s="1814" t="e">
        <f t="shared" si="4"/>
        <v>#N/A</v>
      </c>
      <c r="AC29" s="1814" t="e">
        <f t="shared" si="5"/>
        <v>#N/A</v>
      </c>
    </row>
    <row r="30" spans="1:29" ht="15">
      <c r="A30" s="657"/>
      <c r="B30" s="655" t="s">
        <v>2713</v>
      </c>
      <c r="C30" s="658"/>
      <c r="D30" s="436">
        <v>100</v>
      </c>
      <c r="E30" s="658"/>
      <c r="F30" s="462">
        <f>SUMIF(88:88,E30,89:89)-SUMIF(88:88,C30,89:89)+100</f>
        <v>100</v>
      </c>
      <c r="G30" s="658"/>
      <c r="H30" s="436">
        <f>SUMIF(88:88,E30,89:89)-SUMIF(88:88,C30,89:89)+100</f>
        <v>100</v>
      </c>
      <c r="I30" s="658"/>
      <c r="J30" s="436">
        <f>SUMIF(88:88,E30,89:89)-SUMIF(88:88,C30,89:89)+100</f>
        <v>100</v>
      </c>
      <c r="K30" s="613"/>
      <c r="L30" s="1142"/>
      <c r="M30" s="1133"/>
      <c r="N30" s="1133"/>
      <c r="O30" s="1133"/>
      <c r="P30" s="3189"/>
      <c r="Q30" s="1813" t="str">
        <f t="shared" si="8"/>
        <v>物业等级</v>
      </c>
      <c r="R30" s="773" t="s">
        <v>17</v>
      </c>
      <c r="S30" s="774">
        <f t="shared" si="9"/>
        <v>100</v>
      </c>
      <c r="T30" s="773" t="s">
        <v>17</v>
      </c>
      <c r="U30" s="774">
        <f t="shared" si="10"/>
        <v>100</v>
      </c>
      <c r="V30" s="773" t="s">
        <v>17</v>
      </c>
      <c r="W30" s="774">
        <f t="shared" si="11"/>
        <v>100</v>
      </c>
      <c r="X30" s="1816"/>
      <c r="Y30" s="3189"/>
      <c r="Z30" s="1817" t="str">
        <f t="shared" si="12"/>
        <v>物业等级</v>
      </c>
      <c r="AA30" s="1814">
        <f t="shared" si="3"/>
        <v>1</v>
      </c>
      <c r="AB30" s="1814">
        <f t="shared" si="4"/>
        <v>1</v>
      </c>
      <c r="AC30" s="1814">
        <f t="shared" si="5"/>
        <v>1</v>
      </c>
    </row>
    <row r="31" spans="1:29" s="117" customFormat="1" ht="15">
      <c r="A31" s="659"/>
      <c r="B31" s="655" t="s">
        <v>2714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4"/>
      <c r="M31" s="1135"/>
      <c r="N31" s="1135"/>
      <c r="O31" s="1135"/>
      <c r="P31" s="3189"/>
      <c r="Q31" s="1798" t="str">
        <f t="shared" si="8"/>
        <v>停车位面积</v>
      </c>
      <c r="R31" s="769" t="s">
        <v>17</v>
      </c>
      <c r="S31" s="770" t="e">
        <f t="shared" si="9"/>
        <v>#N/A</v>
      </c>
      <c r="T31" s="769" t="s">
        <v>17</v>
      </c>
      <c r="U31" s="770" t="e">
        <f t="shared" si="10"/>
        <v>#N/A</v>
      </c>
      <c r="V31" s="769" t="s">
        <v>17</v>
      </c>
      <c r="W31" s="770" t="e">
        <f t="shared" si="11"/>
        <v>#N/A</v>
      </c>
      <c r="X31" s="771"/>
      <c r="Y31" s="3189"/>
      <c r="Z31" s="55" t="str">
        <f t="shared" si="12"/>
        <v>停车位面积</v>
      </c>
      <c r="AA31" s="772" t="e">
        <f t="shared" si="3"/>
        <v>#N/A</v>
      </c>
      <c r="AB31" s="772" t="e">
        <f t="shared" si="4"/>
        <v>#N/A</v>
      </c>
      <c r="AC31" s="772" t="e">
        <f t="shared" si="5"/>
        <v>#N/A</v>
      </c>
    </row>
    <row r="32" spans="1:29" ht="15">
      <c r="A32" s="657"/>
      <c r="B32" s="655" t="s">
        <v>2715</v>
      </c>
      <c r="C32" s="461"/>
      <c r="D32" s="436">
        <v>100</v>
      </c>
      <c r="E32" s="461"/>
      <c r="F32" s="462">
        <f>SUMIF(93:93,E32,94:94)-SUMIF(93:93,C32,94:94)+100</f>
        <v>100</v>
      </c>
      <c r="G32" s="461"/>
      <c r="H32" s="436">
        <f>SUMIF(93:93,G32,94:94)-SUMIF(93:93,C32,94:94)+100</f>
        <v>100</v>
      </c>
      <c r="I32" s="461"/>
      <c r="J32" s="436">
        <f>SUMIF(93:93,I32,94:94)-SUMIF(93:93,C32,94:94)+100</f>
        <v>100</v>
      </c>
      <c r="K32" s="613"/>
      <c r="L32" s="1142"/>
      <c r="M32" s="1133"/>
      <c r="N32" s="1133"/>
      <c r="O32" s="1133"/>
      <c r="P32" s="3189" t="s">
        <v>2563</v>
      </c>
      <c r="Q32" s="1813" t="str">
        <f t="shared" si="8"/>
        <v>车位类型</v>
      </c>
      <c r="R32" s="773" t="s">
        <v>17</v>
      </c>
      <c r="S32" s="774">
        <f t="shared" si="9"/>
        <v>100</v>
      </c>
      <c r="T32" s="773" t="s">
        <v>17</v>
      </c>
      <c r="U32" s="774">
        <f t="shared" si="10"/>
        <v>100</v>
      </c>
      <c r="V32" s="773" t="s">
        <v>17</v>
      </c>
      <c r="W32" s="774">
        <f t="shared" si="11"/>
        <v>100</v>
      </c>
      <c r="X32" s="1816"/>
      <c r="Y32" s="3189" t="s">
        <v>2563</v>
      </c>
      <c r="Z32" s="1817" t="str">
        <f t="shared" si="12"/>
        <v>车位类型</v>
      </c>
      <c r="AA32" s="1814">
        <f t="shared" si="3"/>
        <v>1</v>
      </c>
      <c r="AB32" s="1814">
        <f t="shared" si="4"/>
        <v>1</v>
      </c>
      <c r="AC32" s="1814">
        <f t="shared" si="5"/>
        <v>1</v>
      </c>
    </row>
    <row r="33" spans="1:29" ht="15">
      <c r="A33" s="657"/>
      <c r="B33" s="655" t="s">
        <v>2716</v>
      </c>
      <c r="C33" s="461"/>
      <c r="D33" s="436">
        <v>100</v>
      </c>
      <c r="E33" s="461"/>
      <c r="F33" s="462">
        <f>SUMIF(95:95,E33,96:96)-SUMIF(95:95,C33,96:96)+100</f>
        <v>100</v>
      </c>
      <c r="G33" s="461"/>
      <c r="H33" s="436">
        <f>SUMIF(95:95,G33,96:96)-SUMIF(95:95,C33,96:96)+100</f>
        <v>100</v>
      </c>
      <c r="I33" s="461"/>
      <c r="J33" s="436">
        <f>SUMIF(95:95,I33,96:96)-SUMIF(95:95,C33,96:96)+100</f>
        <v>100</v>
      </c>
      <c r="K33" s="613"/>
      <c r="L33" s="1142"/>
      <c r="M33" s="1133"/>
      <c r="N33" s="1133"/>
      <c r="O33" s="1133"/>
      <c r="P33" s="3189"/>
      <c r="Q33" s="1813" t="str">
        <f t="shared" si="8"/>
        <v>是否直接入户</v>
      </c>
      <c r="R33" s="773" t="s">
        <v>17</v>
      </c>
      <c r="S33" s="774">
        <f t="shared" si="9"/>
        <v>100</v>
      </c>
      <c r="T33" s="773" t="s">
        <v>17</v>
      </c>
      <c r="U33" s="774">
        <f t="shared" si="10"/>
        <v>100</v>
      </c>
      <c r="V33" s="773" t="s">
        <v>17</v>
      </c>
      <c r="W33" s="774">
        <f t="shared" si="11"/>
        <v>100</v>
      </c>
      <c r="X33" s="1816"/>
      <c r="Y33" s="3189"/>
      <c r="Z33" s="1817" t="str">
        <f t="shared" si="12"/>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2"/>
      <c r="M34" s="1133"/>
      <c r="N34" s="1133"/>
      <c r="O34" s="1133"/>
      <c r="P34" s="3189"/>
      <c r="Q34" s="1813">
        <f t="shared" si="8"/>
        <v>111</v>
      </c>
      <c r="R34" s="773" t="s">
        <v>17</v>
      </c>
      <c r="S34" s="774">
        <f t="shared" si="9"/>
        <v>100</v>
      </c>
      <c r="T34" s="773" t="s">
        <v>17</v>
      </c>
      <c r="U34" s="774">
        <f t="shared" si="10"/>
        <v>100</v>
      </c>
      <c r="V34" s="773" t="s">
        <v>17</v>
      </c>
      <c r="W34" s="774">
        <f t="shared" si="11"/>
        <v>100</v>
      </c>
      <c r="X34" s="1816"/>
      <c r="Y34" s="3189"/>
      <c r="Z34" s="1817">
        <f t="shared" si="12"/>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0"/>
      <c r="M35" s="1143"/>
      <c r="N35" s="1143"/>
      <c r="O35" s="1143"/>
      <c r="P35" s="3189"/>
      <c r="Q35" s="775">
        <f t="shared" si="8"/>
        <v>111</v>
      </c>
      <c r="R35" s="776" t="s">
        <v>17</v>
      </c>
      <c r="S35" s="777">
        <f t="shared" si="9"/>
        <v>100</v>
      </c>
      <c r="T35" s="776" t="s">
        <v>17</v>
      </c>
      <c r="U35" s="777">
        <f t="shared" si="10"/>
        <v>100</v>
      </c>
      <c r="V35" s="776" t="s">
        <v>17</v>
      </c>
      <c r="W35" s="777">
        <f t="shared" si="11"/>
        <v>100</v>
      </c>
      <c r="X35" s="778"/>
      <c r="Y35" s="3189"/>
      <c r="Z35" s="779">
        <f t="shared" si="12"/>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2"/>
      <c r="M36" s="1133"/>
      <c r="N36" s="1133"/>
      <c r="O36" s="1133"/>
      <c r="P36" s="3189"/>
      <c r="Q36" s="1813">
        <f t="shared" si="8"/>
        <v>111</v>
      </c>
      <c r="R36" s="773" t="s">
        <v>17</v>
      </c>
      <c r="S36" s="774">
        <f t="shared" si="9"/>
        <v>100</v>
      </c>
      <c r="T36" s="773" t="s">
        <v>17</v>
      </c>
      <c r="U36" s="774">
        <f t="shared" si="10"/>
        <v>100</v>
      </c>
      <c r="V36" s="773" t="s">
        <v>17</v>
      </c>
      <c r="W36" s="774">
        <f t="shared" si="11"/>
        <v>100</v>
      </c>
      <c r="X36" s="1816"/>
      <c r="Y36" s="3189"/>
      <c r="Z36" s="1817">
        <f t="shared" si="12"/>
        <v>111</v>
      </c>
      <c r="AA36" s="1814">
        <f t="shared" si="3"/>
        <v>1</v>
      </c>
      <c r="AB36" s="1814">
        <f t="shared" si="4"/>
        <v>1</v>
      </c>
      <c r="AC36" s="1814">
        <f t="shared" si="5"/>
        <v>1</v>
      </c>
    </row>
    <row r="37" spans="1:29" ht="15">
      <c r="A37" s="480" t="s">
        <v>2717</v>
      </c>
      <c r="B37" s="2698" t="s">
        <v>2718</v>
      </c>
      <c r="C37" s="1409" t="s">
        <v>1</v>
      </c>
      <c r="D37" s="1410"/>
      <c r="E37" s="1411"/>
      <c r="F37" s="1412"/>
      <c r="G37" s="1413"/>
      <c r="H37" s="1414"/>
      <c r="I37" s="1411"/>
      <c r="J37" s="1414"/>
      <c r="K37" s="620"/>
      <c r="L37" s="1145"/>
      <c r="M37" s="1146"/>
      <c r="N37" s="1133"/>
      <c r="O37" s="1146"/>
      <c r="P37" s="3182" t="str">
        <f>A37</f>
        <v>成交单价</v>
      </c>
      <c r="Q37" s="3182"/>
      <c r="R37" s="3183">
        <f>E37</f>
        <v>0</v>
      </c>
      <c r="S37" s="3183"/>
      <c r="T37" s="3183">
        <f>G37</f>
        <v>0</v>
      </c>
      <c r="U37" s="3183"/>
      <c r="V37" s="3183">
        <f>I37</f>
        <v>0</v>
      </c>
      <c r="W37" s="3183"/>
      <c r="X37" s="758"/>
      <c r="Y37" s="780"/>
      <c r="Z37" s="758"/>
      <c r="AA37" s="758"/>
      <c r="AB37" s="758"/>
      <c r="AC37" s="758"/>
    </row>
    <row r="38" spans="1:29" ht="15.75" thickBot="1">
      <c r="A38" s="487" t="s">
        <v>2719</v>
      </c>
      <c r="B38" s="488" t="str">
        <f>B37</f>
        <v>元/车位</v>
      </c>
      <c r="C38" s="1415" t="e">
        <f>R39</f>
        <v>#DIV/0!</v>
      </c>
      <c r="D38" s="1416"/>
      <c r="E38" s="1417" t="e">
        <f>R38</f>
        <v>#DIV/0!</v>
      </c>
      <c r="F38" s="1417"/>
      <c r="G38" s="1415" t="e">
        <f>T38</f>
        <v>#DIV/0!</v>
      </c>
      <c r="H38" s="1416"/>
      <c r="I38" s="1417" t="e">
        <f>V38</f>
        <v>#DIV/0!</v>
      </c>
      <c r="J38" s="1416"/>
      <c r="K38" s="621"/>
      <c r="L38" s="1145"/>
      <c r="M38" s="1146"/>
      <c r="N38" s="1146"/>
      <c r="O38" s="1146"/>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8"/>
      <c r="Y38" s="758"/>
      <c r="Z38" s="758"/>
      <c r="AA38" s="758"/>
      <c r="AB38" s="758"/>
      <c r="AC38" s="758"/>
    </row>
    <row r="39" spans="1:29" ht="15.75" thickBot="1">
      <c r="A39" s="493" t="s">
        <v>2720</v>
      </c>
      <c r="B39" s="494"/>
      <c r="C39" s="1419" t="e">
        <f>R39</f>
        <v>#DIV/0!</v>
      </c>
      <c r="D39" s="1419"/>
      <c r="E39" s="1419"/>
      <c r="F39" s="1419"/>
      <c r="G39" s="1419"/>
      <c r="H39" s="1419"/>
      <c r="I39" s="1419"/>
      <c r="J39" s="1419"/>
      <c r="K39" s="622"/>
      <c r="L39" s="1145"/>
      <c r="M39" s="1146"/>
      <c r="N39" s="1146"/>
      <c r="O39" s="1146"/>
      <c r="P39" s="3179" t="str">
        <f>A39</f>
        <v>估价对象XX用房的比较价值（楼面单价，元/平方米）</v>
      </c>
      <c r="Q39" s="3180"/>
      <c r="R39" s="3181" t="e">
        <f>IF(F1="售价",ROUND(AVERAGE(R38:V38),0),ROUND(AVERAGE(R38:V38),1))</f>
        <v>#DIV/0!</v>
      </c>
      <c r="S39" s="3181"/>
      <c r="T39" s="3181"/>
      <c r="U39" s="3181"/>
      <c r="V39" s="3181"/>
      <c r="W39" s="318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8" t="s">
        <v>2721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8" t="s">
        <v>2722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3" customFormat="1" ht="13.5" customHeight="1">
      <c r="A44" s="1147"/>
      <c r="B44" s="1147"/>
      <c r="C44" s="498" t="s">
        <v>2723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3"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9" customFormat="1" ht="15">
      <c r="A48" s="506" t="s">
        <v>2725</v>
      </c>
      <c r="B48" s="507"/>
      <c r="C48" s="1577" t="str">
        <f>YEAR(C7)&amp;"-"&amp;MONTH(C7)</f>
        <v>2017-11</v>
      </c>
      <c r="D48" s="1578">
        <f>EDATE(C48,-1)</f>
        <v>43009</v>
      </c>
      <c r="E48" s="1578">
        <f t="shared" ref="E48:O48" si="13">EDATE(D48,-1)</f>
        <v>42979</v>
      </c>
      <c r="F48" s="1578">
        <f t="shared" si="13"/>
        <v>42948</v>
      </c>
      <c r="G48" s="1578">
        <f t="shared" si="13"/>
        <v>42917</v>
      </c>
      <c r="H48" s="1578">
        <f t="shared" si="13"/>
        <v>42887</v>
      </c>
      <c r="I48" s="1578">
        <f t="shared" si="13"/>
        <v>42856</v>
      </c>
      <c r="J48" s="1578">
        <f t="shared" si="13"/>
        <v>42826</v>
      </c>
      <c r="K48" s="1578">
        <f t="shared" si="13"/>
        <v>42795</v>
      </c>
      <c r="L48" s="1578">
        <f t="shared" si="13"/>
        <v>42767</v>
      </c>
      <c r="M48" s="1578">
        <f t="shared" si="13"/>
        <v>42736</v>
      </c>
      <c r="N48" s="1578">
        <f t="shared" si="13"/>
        <v>42705</v>
      </c>
      <c r="O48" s="1578">
        <f t="shared" si="13"/>
        <v>42675</v>
      </c>
      <c r="P48" s="1440"/>
      <c r="Q48" s="1441"/>
      <c r="R48" s="1441"/>
      <c r="S48" s="1441"/>
      <c r="T48" s="1441"/>
      <c r="U48" s="1441"/>
      <c r="V48" s="1441"/>
      <c r="W48" s="1441"/>
      <c r="X48" s="1441"/>
      <c r="Y48" s="1441"/>
      <c r="Z48" s="1441"/>
      <c r="AA48" s="1441"/>
      <c r="AB48" s="1441"/>
      <c r="AC48" s="1441"/>
    </row>
    <row r="49" spans="1:29" s="117" customFormat="1" ht="15">
      <c r="A49" s="510"/>
      <c r="B49" s="511"/>
      <c r="C49" s="1569">
        <v>100</v>
      </c>
      <c r="D49" s="513"/>
      <c r="E49" s="513"/>
      <c r="F49" s="513"/>
      <c r="G49" s="513"/>
      <c r="H49" s="513"/>
      <c r="I49" s="513"/>
      <c r="J49" s="513"/>
      <c r="K49" s="513"/>
      <c r="L49" s="513"/>
      <c r="M49" s="514"/>
      <c r="N49" s="513"/>
      <c r="O49" s="514"/>
      <c r="P49" s="1430"/>
      <c r="Q49" s="1429"/>
      <c r="R49" s="1429"/>
      <c r="S49" s="1429"/>
      <c r="T49" s="1429"/>
      <c r="U49" s="1429"/>
      <c r="V49" s="1429"/>
      <c r="W49" s="1429"/>
      <c r="X49" s="1429"/>
      <c r="Y49" s="1429"/>
      <c r="Z49" s="1429"/>
      <c r="AA49" s="1429"/>
      <c r="AB49" s="1429"/>
      <c r="AC49" s="1429"/>
    </row>
    <row r="50" spans="1:29" s="117" customFormat="1" ht="15.75" thickBot="1">
      <c r="A50" s="516" t="s">
        <v>2582</v>
      </c>
      <c r="B50" s="517"/>
      <c r="C50" s="518"/>
      <c r="D50" s="519"/>
      <c r="E50" s="519"/>
      <c r="F50" s="519"/>
      <c r="G50" s="519"/>
      <c r="H50" s="519"/>
      <c r="I50" s="519"/>
      <c r="J50" s="519"/>
      <c r="K50" s="519"/>
      <c r="L50" s="519"/>
      <c r="M50" s="520"/>
      <c r="N50" s="519"/>
      <c r="O50" s="520"/>
      <c r="P50" s="1430"/>
      <c r="Q50" s="1425"/>
      <c r="R50" s="1429"/>
      <c r="S50" s="1429"/>
      <c r="T50" s="1429"/>
      <c r="U50" s="1429"/>
      <c r="V50" s="1429"/>
      <c r="W50" s="1429"/>
      <c r="X50" s="1429"/>
      <c r="Y50" s="1429"/>
      <c r="Z50" s="1429"/>
      <c r="AA50" s="1429"/>
      <c r="AB50" s="1429"/>
      <c r="AC50" s="1429"/>
    </row>
    <row r="51" spans="1:29" s="117" customFormat="1" ht="15">
      <c r="A51" s="522" t="s">
        <v>2548</v>
      </c>
      <c r="B51" s="511"/>
      <c r="C51" s="523" t="s">
        <v>2649</v>
      </c>
      <c r="D51" s="524"/>
      <c r="E51" s="524"/>
      <c r="F51" s="524"/>
      <c r="G51" s="524"/>
      <c r="H51" s="524"/>
      <c r="I51" s="524"/>
      <c r="J51" s="524"/>
      <c r="K51" s="524"/>
      <c r="L51" s="525"/>
      <c r="M51" s="526"/>
      <c r="N51" s="1153"/>
      <c r="O51" s="1153"/>
      <c r="P51" s="1428"/>
      <c r="Q51" s="1425"/>
      <c r="R51" s="1429"/>
      <c r="S51" s="1429"/>
      <c r="T51" s="1429"/>
      <c r="U51" s="1429"/>
      <c r="V51" s="1429"/>
      <c r="W51" s="1429"/>
      <c r="X51" s="1429"/>
      <c r="Y51" s="1429"/>
      <c r="Z51" s="1429"/>
      <c r="AA51" s="1429"/>
      <c r="AB51" s="1429"/>
      <c r="AC51" s="1429"/>
    </row>
    <row r="52" spans="1:29" s="117" customFormat="1" ht="15.75" thickBot="1">
      <c r="A52" s="522"/>
      <c r="B52" s="511"/>
      <c r="C52" s="640">
        <v>100</v>
      </c>
      <c r="D52" s="513"/>
      <c r="E52" s="513"/>
      <c r="F52" s="513"/>
      <c r="G52" s="513"/>
      <c r="H52" s="513"/>
      <c r="I52" s="513"/>
      <c r="J52" s="513"/>
      <c r="K52" s="513"/>
      <c r="L52" s="513"/>
      <c r="M52" s="515"/>
      <c r="N52" s="1153"/>
      <c r="O52" s="1153"/>
      <c r="P52" s="1430"/>
      <c r="Q52" s="1425"/>
      <c r="R52" s="1429"/>
      <c r="S52" s="1429"/>
      <c r="T52" s="1429"/>
      <c r="U52" s="1429"/>
      <c r="V52" s="1429"/>
      <c r="W52" s="1429"/>
      <c r="X52" s="1429"/>
      <c r="Y52" s="1429"/>
      <c r="Z52" s="1429"/>
      <c r="AA52" s="1429"/>
      <c r="AB52" s="1429"/>
      <c r="AC52" s="1429"/>
    </row>
    <row r="53" spans="1:29">
      <c r="A53" s="528" t="s">
        <v>2585</v>
      </c>
      <c r="B53" s="529" t="s">
        <v>2552</v>
      </c>
      <c r="C53" s="530">
        <f>C9</f>
        <v>0</v>
      </c>
      <c r="D53" s="531"/>
      <c r="E53" s="531"/>
      <c r="F53" s="531"/>
      <c r="G53" s="531"/>
      <c r="H53" s="531"/>
      <c r="I53" s="531"/>
      <c r="J53" s="531"/>
      <c r="K53" s="532"/>
      <c r="L53" s="533"/>
      <c r="M53" s="534"/>
      <c r="N53" s="1154"/>
      <c r="O53" s="1154"/>
      <c r="P53" s="1431"/>
      <c r="Q53" s="1425"/>
      <c r="R53" s="1146"/>
      <c r="S53" s="1146"/>
      <c r="T53" s="1146"/>
      <c r="U53" s="1146"/>
      <c r="V53" s="1146"/>
      <c r="W53" s="1146"/>
      <c r="X53" s="1146"/>
      <c r="Y53" s="1146"/>
      <c r="Z53" s="1146"/>
      <c r="AA53" s="1146"/>
      <c r="AB53" s="1146"/>
      <c r="AC53" s="1146"/>
    </row>
    <row r="54" spans="1:29" ht="15.75" thickBot="1">
      <c r="A54" s="535"/>
      <c r="B54" s="536"/>
      <c r="C54" s="537">
        <v>100</v>
      </c>
      <c r="D54" s="537"/>
      <c r="E54" s="537"/>
      <c r="F54" s="537"/>
      <c r="G54" s="537"/>
      <c r="H54" s="537"/>
      <c r="I54" s="537"/>
      <c r="J54" s="537"/>
      <c r="K54" s="537"/>
      <c r="L54" s="537"/>
      <c r="M54" s="538"/>
      <c r="N54" s="1155"/>
      <c r="O54" s="1155"/>
      <c r="P54" s="1431"/>
      <c r="Q54" s="1425"/>
      <c r="R54" s="1146"/>
      <c r="S54" s="1146"/>
      <c r="T54" s="1146"/>
      <c r="U54" s="1146"/>
      <c r="V54" s="1146"/>
      <c r="W54" s="1146"/>
      <c r="X54" s="1146"/>
      <c r="Y54" s="1146"/>
      <c r="Z54" s="1146"/>
      <c r="AA54" s="1146"/>
      <c r="AB54" s="1146"/>
      <c r="AC54" s="1146"/>
    </row>
    <row r="55" spans="1:29" ht="27.75" thickTop="1">
      <c r="A55" s="535"/>
      <c r="B55" s="539" t="s">
        <v>2555</v>
      </c>
      <c r="C55" s="540" t="s">
        <v>2586</v>
      </c>
      <c r="D55" s="540" t="s">
        <v>2587</v>
      </c>
      <c r="E55" s="540" t="s">
        <v>2588</v>
      </c>
      <c r="F55" s="540" t="s">
        <v>2589</v>
      </c>
      <c r="G55" s="540" t="s">
        <v>2590</v>
      </c>
      <c r="H55" s="540" t="s">
        <v>2591</v>
      </c>
      <c r="I55" s="540" t="s">
        <v>2592</v>
      </c>
      <c r="J55" s="540"/>
      <c r="K55" s="541"/>
      <c r="L55" s="542"/>
      <c r="M55" s="543"/>
      <c r="N55" s="1154"/>
      <c r="O55" s="1154"/>
      <c r="P55" s="1431"/>
      <c r="Q55" s="1425"/>
      <c r="R55" s="1146"/>
      <c r="S55" s="1146"/>
      <c r="T55" s="1146"/>
      <c r="U55" s="1146"/>
      <c r="V55" s="1146"/>
      <c r="W55" s="1146"/>
      <c r="X55" s="1146"/>
      <c r="Y55" s="1146"/>
      <c r="Z55" s="1146"/>
      <c r="AA55" s="1146"/>
      <c r="AB55" s="1146"/>
      <c r="AC55" s="1146"/>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5"/>
      <c r="O56" s="1155"/>
      <c r="P56" s="1431"/>
      <c r="Q56" s="1425"/>
      <c r="R56" s="1146"/>
      <c r="S56" s="1146"/>
      <c r="T56" s="1146"/>
      <c r="U56" s="1146"/>
      <c r="V56" s="1146"/>
      <c r="W56" s="1146"/>
      <c r="X56" s="1146"/>
      <c r="Y56" s="1146"/>
      <c r="Z56" s="1146"/>
      <c r="AA56" s="1146"/>
      <c r="AB56" s="1146"/>
      <c r="AC56" s="1146"/>
    </row>
    <row r="57" spans="1:29" ht="15.75" thickTop="1">
      <c r="A57" s="535"/>
      <c r="B57" s="661">
        <f>B11</f>
        <v>111</v>
      </c>
      <c r="C57" s="550"/>
      <c r="D57" s="550"/>
      <c r="E57" s="550"/>
      <c r="F57" s="550"/>
      <c r="G57" s="550"/>
      <c r="H57" s="550"/>
      <c r="I57" s="550"/>
      <c r="J57" s="550"/>
      <c r="K57" s="551"/>
      <c r="L57" s="552"/>
      <c r="M57" s="553"/>
      <c r="N57" s="1154"/>
      <c r="O57" s="1154"/>
      <c r="P57" s="1431"/>
      <c r="Q57" s="1425"/>
      <c r="R57" s="1146"/>
      <c r="S57" s="1146"/>
      <c r="T57" s="1146"/>
      <c r="U57" s="1146"/>
      <c r="V57" s="1146"/>
      <c r="W57" s="1146"/>
      <c r="X57" s="1146"/>
      <c r="Y57" s="1146"/>
      <c r="Z57" s="1146"/>
      <c r="AA57" s="1146"/>
      <c r="AB57" s="1146"/>
      <c r="AC57" s="1146"/>
    </row>
    <row r="58" spans="1:29" ht="15.75" thickBot="1">
      <c r="A58" s="535"/>
      <c r="B58" s="536"/>
      <c r="C58" s="561"/>
      <c r="D58" s="537"/>
      <c r="E58" s="537"/>
      <c r="F58" s="537"/>
      <c r="G58" s="537"/>
      <c r="H58" s="537"/>
      <c r="I58" s="537"/>
      <c r="J58" s="537"/>
      <c r="K58" s="537"/>
      <c r="L58" s="537"/>
      <c r="M58" s="538"/>
      <c r="N58" s="1155"/>
      <c r="O58" s="1155"/>
      <c r="P58" s="1431"/>
      <c r="Q58" s="1425"/>
      <c r="R58" s="1146"/>
      <c r="S58" s="1146"/>
      <c r="T58" s="1146"/>
      <c r="U58" s="1146"/>
      <c r="V58" s="1146"/>
      <c r="W58" s="1146"/>
      <c r="X58" s="1146"/>
      <c r="Y58" s="1146"/>
      <c r="Z58" s="1146"/>
      <c r="AA58" s="1146"/>
      <c r="AB58" s="1146"/>
      <c r="AC58" s="1146"/>
    </row>
    <row r="59" spans="1:29" s="472" customFormat="1" ht="15.75" thickTop="1">
      <c r="A59" s="554"/>
      <c r="B59" s="539">
        <f>B12</f>
        <v>111</v>
      </c>
      <c r="C59" s="550"/>
      <c r="D59" s="550"/>
      <c r="E59" s="550"/>
      <c r="F59" s="550"/>
      <c r="G59" s="555"/>
      <c r="H59" s="556"/>
      <c r="I59" s="556"/>
      <c r="J59" s="556"/>
      <c r="K59" s="556"/>
      <c r="L59" s="557"/>
      <c r="M59" s="558"/>
      <c r="N59" s="1156"/>
      <c r="O59" s="1156"/>
      <c r="P59" s="1432"/>
      <c r="Q59" s="1433"/>
      <c r="R59" s="1434"/>
      <c r="S59" s="1434"/>
      <c r="T59" s="1434"/>
      <c r="U59" s="1434"/>
      <c r="V59" s="1434"/>
      <c r="W59" s="1434"/>
      <c r="X59" s="1434"/>
      <c r="Y59" s="1434"/>
      <c r="Z59" s="1434"/>
      <c r="AA59" s="1434"/>
      <c r="AB59" s="1434"/>
      <c r="AC59" s="1434"/>
    </row>
    <row r="60" spans="1:29" s="472" customFormat="1" ht="15.75" thickBot="1">
      <c r="A60" s="554"/>
      <c r="B60" s="544"/>
      <c r="C60" s="561"/>
      <c r="D60" s="537"/>
      <c r="E60" s="537"/>
      <c r="F60" s="537"/>
      <c r="G60" s="537"/>
      <c r="H60" s="537"/>
      <c r="I60" s="537"/>
      <c r="J60" s="537"/>
      <c r="K60" s="537"/>
      <c r="L60" s="537"/>
      <c r="M60" s="538"/>
      <c r="N60" s="1155"/>
      <c r="O60" s="1155"/>
      <c r="P60" s="1432"/>
      <c r="Q60" s="1433"/>
      <c r="R60" s="1434"/>
      <c r="S60" s="1434"/>
      <c r="T60" s="1434"/>
      <c r="U60" s="1434"/>
      <c r="V60" s="1434"/>
      <c r="W60" s="1434"/>
      <c r="X60" s="1434"/>
      <c r="Y60" s="1434"/>
      <c r="Z60" s="1434"/>
      <c r="AA60" s="1434"/>
      <c r="AB60" s="1434"/>
      <c r="AC60" s="1434"/>
    </row>
    <row r="61" spans="1:29" s="472" customFormat="1" ht="15.75" thickTop="1">
      <c r="A61" s="554"/>
      <c r="B61" s="539">
        <f>B13</f>
        <v>111</v>
      </c>
      <c r="C61" s="555"/>
      <c r="D61" s="555"/>
      <c r="E61" s="555"/>
      <c r="F61" s="555"/>
      <c r="G61" s="555"/>
      <c r="H61" s="556"/>
      <c r="I61" s="556"/>
      <c r="J61" s="556"/>
      <c r="K61" s="556"/>
      <c r="L61" s="557"/>
      <c r="M61" s="558"/>
      <c r="N61" s="1156"/>
      <c r="O61" s="1156"/>
      <c r="P61" s="1435"/>
      <c r="Q61" s="1436"/>
      <c r="R61" s="1434"/>
      <c r="S61" s="1434"/>
      <c r="T61" s="1434"/>
      <c r="U61" s="1434"/>
      <c r="V61" s="1434"/>
      <c r="W61" s="1434"/>
      <c r="X61" s="1434"/>
      <c r="Y61" s="1434"/>
      <c r="Z61" s="1434"/>
      <c r="AA61" s="1434"/>
      <c r="AB61" s="1434"/>
      <c r="AC61" s="1434"/>
    </row>
    <row r="62" spans="1:29" s="472" customFormat="1" ht="15.75" thickBot="1">
      <c r="A62" s="554"/>
      <c r="B62" s="544"/>
      <c r="C62" s="561"/>
      <c r="D62" s="561"/>
      <c r="E62" s="561"/>
      <c r="F62" s="561"/>
      <c r="G62" s="561"/>
      <c r="H62" s="563"/>
      <c r="I62" s="563"/>
      <c r="J62" s="563"/>
      <c r="K62" s="563"/>
      <c r="L62" s="563"/>
      <c r="M62" s="564"/>
      <c r="N62" s="1156"/>
      <c r="O62" s="1156"/>
      <c r="P62" s="1432"/>
      <c r="Q62" s="1433"/>
      <c r="R62" s="1434"/>
      <c r="S62" s="1434"/>
      <c r="T62" s="1434"/>
      <c r="U62" s="1434"/>
      <c r="V62" s="1434"/>
      <c r="W62" s="1434"/>
      <c r="X62" s="1434"/>
      <c r="Y62" s="1434"/>
      <c r="Z62" s="1434"/>
      <c r="AA62" s="1434"/>
      <c r="AB62" s="1434"/>
      <c r="AC62" s="1434"/>
    </row>
    <row r="63" spans="1:29" ht="15" thickTop="1">
      <c r="A63" s="528" t="s">
        <v>2557</v>
      </c>
      <c r="B63" s="529" t="s">
        <v>2599</v>
      </c>
      <c r="C63" s="574" t="s">
        <v>2594</v>
      </c>
      <c r="D63" s="574" t="s">
        <v>2595</v>
      </c>
      <c r="E63" s="574" t="s">
        <v>2596</v>
      </c>
      <c r="F63" s="574" t="s">
        <v>2597</v>
      </c>
      <c r="G63" s="574" t="s">
        <v>2598</v>
      </c>
      <c r="H63" s="530"/>
      <c r="I63" s="530"/>
      <c r="J63" s="530"/>
      <c r="K63" s="575"/>
      <c r="L63" s="576"/>
      <c r="M63" s="577"/>
      <c r="N63" s="1154"/>
      <c r="O63" s="1154"/>
      <c r="P63" s="1437"/>
      <c r="Q63" s="1425"/>
      <c r="R63" s="1146"/>
      <c r="S63" s="1146"/>
      <c r="T63" s="1146"/>
      <c r="U63" s="1146"/>
      <c r="V63" s="1146"/>
      <c r="W63" s="1146"/>
      <c r="X63" s="1146"/>
      <c r="Y63" s="1146"/>
      <c r="Z63" s="1146"/>
      <c r="AA63" s="1146"/>
      <c r="AB63" s="1146"/>
      <c r="AC63" s="1146"/>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5"/>
      <c r="O64" s="1155"/>
      <c r="P64" s="1431"/>
      <c r="Q64" s="1425"/>
      <c r="R64" s="1146"/>
      <c r="S64" s="1146"/>
      <c r="T64" s="1146"/>
      <c r="U64" s="1146"/>
      <c r="V64" s="1146"/>
      <c r="W64" s="1146"/>
      <c r="X64" s="1146"/>
      <c r="Y64" s="1146"/>
      <c r="Z64" s="1146"/>
      <c r="AA64" s="1146"/>
      <c r="AB64" s="1146"/>
      <c r="AC64" s="1146"/>
    </row>
    <row r="65" spans="1:29" ht="15.75" thickTop="1">
      <c r="A65" s="535"/>
      <c r="B65" s="539" t="s">
        <v>2600</v>
      </c>
      <c r="C65" s="579" t="s">
        <v>2594</v>
      </c>
      <c r="D65" s="579" t="s">
        <v>2595</v>
      </c>
      <c r="E65" s="579" t="s">
        <v>2596</v>
      </c>
      <c r="F65" s="579" t="s">
        <v>2597</v>
      </c>
      <c r="G65" s="579" t="s">
        <v>2598</v>
      </c>
      <c r="H65" s="540"/>
      <c r="I65" s="540"/>
      <c r="J65" s="540"/>
      <c r="K65" s="541"/>
      <c r="L65" s="542"/>
      <c r="M65" s="543"/>
      <c r="N65" s="1154"/>
      <c r="O65" s="1154"/>
      <c r="P65" s="1431"/>
      <c r="Q65" s="1425"/>
      <c r="R65" s="1146"/>
      <c r="S65" s="1146"/>
      <c r="T65" s="1146"/>
      <c r="U65" s="1146"/>
      <c r="V65" s="1146"/>
      <c r="W65" s="1146"/>
      <c r="X65" s="1146"/>
      <c r="Y65" s="1146"/>
      <c r="Z65" s="1146"/>
      <c r="AA65" s="1146"/>
      <c r="AB65" s="1146"/>
      <c r="AC65" s="1146"/>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5"/>
      <c r="O66" s="1155"/>
      <c r="P66" s="1431"/>
      <c r="Q66" s="1425"/>
      <c r="R66" s="1146"/>
      <c r="S66" s="1146"/>
      <c r="T66" s="1146"/>
      <c r="U66" s="1146"/>
      <c r="V66" s="1146"/>
      <c r="W66" s="1146"/>
      <c r="X66" s="1146"/>
      <c r="Y66" s="1146"/>
      <c r="Z66" s="1146"/>
      <c r="AA66" s="1146"/>
      <c r="AB66" s="1146"/>
      <c r="AC66" s="1146"/>
    </row>
    <row r="67" spans="1:29" ht="15.75" thickTop="1">
      <c r="A67" s="535"/>
      <c r="B67" s="547" t="s">
        <v>2686</v>
      </c>
      <c r="C67" s="661" t="s">
        <v>2672</v>
      </c>
      <c r="D67" s="661" t="s">
        <v>2673</v>
      </c>
      <c r="E67" s="661" t="s">
        <v>2674</v>
      </c>
      <c r="F67" s="661" t="s">
        <v>2675</v>
      </c>
      <c r="G67" s="661" t="s">
        <v>2676</v>
      </c>
      <c r="H67" s="540"/>
      <c r="I67" s="540"/>
      <c r="J67" s="540"/>
      <c r="K67" s="540"/>
      <c r="L67" s="540"/>
      <c r="M67" s="1384"/>
      <c r="N67" s="1155"/>
      <c r="O67" s="1155"/>
      <c r="P67" s="1431"/>
      <c r="Q67" s="1425"/>
      <c r="R67" s="1146"/>
      <c r="S67" s="1146"/>
      <c r="T67" s="1146"/>
      <c r="U67" s="1146"/>
      <c r="V67" s="1146"/>
      <c r="W67" s="1146"/>
      <c r="X67" s="1146"/>
      <c r="Y67" s="1146"/>
      <c r="Z67" s="1146"/>
      <c r="AA67" s="1146"/>
      <c r="AB67" s="1146"/>
      <c r="AC67" s="1146"/>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5"/>
      <c r="O68" s="1155"/>
      <c r="P68" s="1431"/>
      <c r="Q68" s="1425"/>
      <c r="R68" s="1146"/>
      <c r="S68" s="1146"/>
      <c r="T68" s="1146"/>
      <c r="U68" s="1146"/>
      <c r="V68" s="1146"/>
      <c r="W68" s="1146"/>
      <c r="X68" s="1146"/>
      <c r="Y68" s="1146"/>
      <c r="Z68" s="1146"/>
      <c r="AA68" s="1146"/>
      <c r="AB68" s="1146"/>
      <c r="AC68" s="1146"/>
    </row>
    <row r="69" spans="1:29" ht="15.75" thickTop="1">
      <c r="A69" s="535"/>
      <c r="B69" s="539" t="s">
        <v>2606</v>
      </c>
      <c r="C69" s="579" t="s">
        <v>2594</v>
      </c>
      <c r="D69" s="579" t="s">
        <v>2595</v>
      </c>
      <c r="E69" s="579" t="s">
        <v>2596</v>
      </c>
      <c r="F69" s="579" t="s">
        <v>2597</v>
      </c>
      <c r="G69" s="579" t="s">
        <v>2598</v>
      </c>
      <c r="H69" s="540"/>
      <c r="I69" s="540"/>
      <c r="J69" s="540"/>
      <c r="K69" s="541"/>
      <c r="L69" s="542"/>
      <c r="M69" s="543"/>
      <c r="N69" s="1154"/>
      <c r="O69" s="1154"/>
      <c r="P69" s="1431"/>
      <c r="Q69" s="1425"/>
      <c r="R69" s="1146"/>
      <c r="S69" s="1146"/>
      <c r="T69" s="1146"/>
      <c r="U69" s="1146"/>
      <c r="V69" s="1146"/>
      <c r="W69" s="1146"/>
      <c r="X69" s="1146"/>
      <c r="Y69" s="1146"/>
      <c r="Z69" s="1146"/>
      <c r="AA69" s="1146"/>
      <c r="AB69" s="1146"/>
      <c r="AC69" s="1146"/>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5"/>
      <c r="O70" s="1155"/>
      <c r="P70" s="1431"/>
      <c r="Q70" s="1425"/>
      <c r="R70" s="1146"/>
      <c r="S70" s="1146"/>
      <c r="T70" s="1146"/>
      <c r="U70" s="1146"/>
      <c r="V70" s="1146"/>
      <c r="W70" s="1146"/>
      <c r="X70" s="1146"/>
      <c r="Y70" s="1146"/>
      <c r="Z70" s="1146"/>
      <c r="AA70" s="1146"/>
      <c r="AB70" s="1146"/>
      <c r="AC70" s="1146"/>
    </row>
    <row r="71" spans="1:29" ht="15.75" thickTop="1">
      <c r="A71" s="535"/>
      <c r="B71" s="539" t="s">
        <v>2726</v>
      </c>
      <c r="C71" s="555"/>
      <c r="D71" s="555"/>
      <c r="E71" s="555"/>
      <c r="F71" s="555"/>
      <c r="G71" s="555"/>
      <c r="H71" s="584"/>
      <c r="I71" s="584"/>
      <c r="J71" s="584"/>
      <c r="K71" s="585"/>
      <c r="L71" s="586"/>
      <c r="M71" s="587"/>
      <c r="N71" s="1154"/>
      <c r="O71" s="1154"/>
      <c r="P71" s="1431"/>
      <c r="Q71" s="1425"/>
      <c r="R71" s="1146"/>
      <c r="S71" s="1146"/>
      <c r="T71" s="1146"/>
      <c r="U71" s="1146"/>
      <c r="V71" s="1146"/>
      <c r="W71" s="1146"/>
      <c r="X71" s="1146"/>
      <c r="Y71" s="1146"/>
      <c r="Z71" s="1146"/>
      <c r="AA71" s="1146"/>
      <c r="AB71" s="1146"/>
      <c r="AC71" s="1146"/>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5"/>
      <c r="O72" s="1155"/>
      <c r="P72" s="1431"/>
      <c r="Q72" s="1425"/>
      <c r="R72" s="1146"/>
      <c r="S72" s="1146"/>
      <c r="T72" s="1146"/>
      <c r="U72" s="1146"/>
      <c r="V72" s="1146"/>
      <c r="W72" s="1146"/>
      <c r="X72" s="1146"/>
      <c r="Y72" s="1146"/>
      <c r="Z72" s="1146"/>
      <c r="AA72" s="1146"/>
      <c r="AB72" s="1146"/>
      <c r="AC72" s="1146"/>
    </row>
    <row r="73" spans="1:29" s="117" customFormat="1" ht="15.75" thickTop="1">
      <c r="A73" s="580"/>
      <c r="B73" s="539">
        <f>B23</f>
        <v>111</v>
      </c>
      <c r="C73" s="550"/>
      <c r="D73" s="550"/>
      <c r="E73" s="550"/>
      <c r="F73" s="550"/>
      <c r="G73" s="555"/>
      <c r="H73" s="555"/>
      <c r="I73" s="555"/>
      <c r="J73" s="555"/>
      <c r="K73" s="555"/>
      <c r="L73" s="581"/>
      <c r="M73" s="582"/>
      <c r="N73" s="1153"/>
      <c r="O73" s="1153"/>
      <c r="P73" s="1431"/>
      <c r="Q73" s="1425"/>
      <c r="R73" s="1429"/>
      <c r="S73" s="1429"/>
      <c r="T73" s="1429"/>
      <c r="U73" s="1429"/>
      <c r="V73" s="1429"/>
      <c r="W73" s="1429"/>
      <c r="X73" s="1429"/>
      <c r="Y73" s="1429"/>
      <c r="Z73" s="1429"/>
      <c r="AA73" s="1429"/>
      <c r="AB73" s="1429"/>
      <c r="AC73" s="1429"/>
    </row>
    <row r="74" spans="1:29" s="117" customFormat="1" ht="15.75" thickBot="1">
      <c r="A74" s="580"/>
      <c r="B74" s="544"/>
      <c r="C74" s="561"/>
      <c r="D74" s="537"/>
      <c r="E74" s="537"/>
      <c r="F74" s="537"/>
      <c r="G74" s="537"/>
      <c r="H74" s="537"/>
      <c r="I74" s="537"/>
      <c r="J74" s="537"/>
      <c r="K74" s="537"/>
      <c r="L74" s="537"/>
      <c r="M74" s="538"/>
      <c r="N74" s="1155"/>
      <c r="O74" s="1155"/>
      <c r="P74" s="1431"/>
      <c r="Q74" s="1425"/>
      <c r="R74" s="1429"/>
      <c r="S74" s="1429"/>
      <c r="T74" s="1429"/>
      <c r="U74" s="1429"/>
      <c r="V74" s="1429"/>
      <c r="W74" s="1429"/>
      <c r="X74" s="1429"/>
      <c r="Y74" s="1429"/>
      <c r="Z74" s="1429"/>
      <c r="AA74" s="1429"/>
      <c r="AB74" s="1429"/>
      <c r="AC74" s="1429"/>
    </row>
    <row r="75" spans="1:29" s="117" customFormat="1" ht="15.75" thickTop="1">
      <c r="A75" s="580"/>
      <c r="B75" s="539">
        <f>B24</f>
        <v>111</v>
      </c>
      <c r="C75" s="550"/>
      <c r="D75" s="550"/>
      <c r="E75" s="550"/>
      <c r="F75" s="550"/>
      <c r="G75" s="555"/>
      <c r="H75" s="555"/>
      <c r="I75" s="555"/>
      <c r="J75" s="555"/>
      <c r="K75" s="555"/>
      <c r="L75" s="555"/>
      <c r="M75" s="582"/>
      <c r="N75" s="1153"/>
      <c r="O75" s="1153"/>
      <c r="P75" s="1431"/>
      <c r="Q75" s="1425"/>
      <c r="R75" s="1429"/>
      <c r="S75" s="1429"/>
      <c r="T75" s="1429"/>
      <c r="U75" s="1429"/>
      <c r="V75" s="1429"/>
      <c r="W75" s="1429"/>
      <c r="X75" s="1429"/>
      <c r="Y75" s="1429"/>
      <c r="Z75" s="1429"/>
      <c r="AA75" s="1429"/>
      <c r="AB75" s="1429"/>
      <c r="AC75" s="1429"/>
    </row>
    <row r="76" spans="1:29" s="117" customFormat="1" ht="15.75" thickBot="1">
      <c r="A76" s="580"/>
      <c r="B76" s="544"/>
      <c r="C76" s="561"/>
      <c r="D76" s="537"/>
      <c r="E76" s="537"/>
      <c r="F76" s="537"/>
      <c r="G76" s="537"/>
      <c r="H76" s="537"/>
      <c r="I76" s="537"/>
      <c r="J76" s="537"/>
      <c r="K76" s="537"/>
      <c r="L76" s="537"/>
      <c r="M76" s="538"/>
      <c r="N76" s="1155"/>
      <c r="O76" s="1155"/>
      <c r="P76" s="1431"/>
      <c r="Q76" s="1425"/>
      <c r="R76" s="1429"/>
      <c r="S76" s="1429"/>
      <c r="T76" s="1429"/>
      <c r="U76" s="1429"/>
      <c r="V76" s="1429"/>
      <c r="W76" s="1429"/>
      <c r="X76" s="1429"/>
      <c r="Y76" s="1429"/>
      <c r="Z76" s="1429"/>
      <c r="AA76" s="1429"/>
      <c r="AB76" s="1429"/>
      <c r="AC76" s="1429"/>
    </row>
    <row r="77" spans="1:29" s="472" customFormat="1" ht="15.75" thickTop="1">
      <c r="A77" s="554"/>
      <c r="B77" s="539">
        <f>B25</f>
        <v>111</v>
      </c>
      <c r="C77" s="555"/>
      <c r="D77" s="555"/>
      <c r="E77" s="555"/>
      <c r="F77" s="555"/>
      <c r="G77" s="555"/>
      <c r="H77" s="556"/>
      <c r="I77" s="556"/>
      <c r="J77" s="556"/>
      <c r="K77" s="556"/>
      <c r="L77" s="557"/>
      <c r="M77" s="558"/>
      <c r="N77" s="1156"/>
      <c r="O77" s="1156"/>
      <c r="P77" s="1432"/>
      <c r="Q77" s="1433"/>
      <c r="R77" s="1434"/>
      <c r="S77" s="1434"/>
      <c r="T77" s="1434"/>
      <c r="U77" s="1434"/>
      <c r="V77" s="1434"/>
      <c r="W77" s="1434"/>
      <c r="X77" s="1434"/>
      <c r="Y77" s="1434"/>
      <c r="Z77" s="1434"/>
      <c r="AA77" s="1434"/>
      <c r="AB77" s="1434"/>
      <c r="AC77" s="1434"/>
    </row>
    <row r="78" spans="1:29" s="472" customFormat="1" ht="15.75" thickBot="1">
      <c r="A78" s="554"/>
      <c r="B78" s="544"/>
      <c r="C78" s="561"/>
      <c r="D78" s="561"/>
      <c r="E78" s="561"/>
      <c r="F78" s="561"/>
      <c r="G78" s="537"/>
      <c r="H78" s="537"/>
      <c r="I78" s="537"/>
      <c r="J78" s="537"/>
      <c r="K78" s="537"/>
      <c r="L78" s="537"/>
      <c r="M78" s="538"/>
      <c r="N78" s="1156"/>
      <c r="O78" s="1156"/>
      <c r="P78" s="1432"/>
      <c r="Q78" s="1433"/>
      <c r="R78" s="1434"/>
      <c r="S78" s="1434"/>
      <c r="T78" s="1434"/>
      <c r="U78" s="1434"/>
      <c r="V78" s="1434"/>
      <c r="W78" s="1434"/>
      <c r="X78" s="1434"/>
      <c r="Y78" s="1434"/>
      <c r="Z78" s="1434"/>
      <c r="AA78" s="1434"/>
      <c r="AB78" s="1434"/>
      <c r="AC78" s="1434"/>
    </row>
    <row r="79" spans="1:29" ht="27.75" thickTop="1">
      <c r="A79" s="528" t="s">
        <v>2561</v>
      </c>
      <c r="B79" s="529" t="s">
        <v>2727</v>
      </c>
      <c r="C79" s="530">
        <f>C26</f>
        <v>0</v>
      </c>
      <c r="D79" s="531"/>
      <c r="E79" s="531"/>
      <c r="F79" s="531"/>
      <c r="G79" s="531"/>
      <c r="H79" s="531"/>
      <c r="I79" s="531"/>
      <c r="J79" s="531"/>
      <c r="K79" s="532"/>
      <c r="L79" s="533"/>
      <c r="M79" s="534"/>
      <c r="N79" s="1154"/>
      <c r="O79" s="1154"/>
      <c r="P79" s="1431"/>
      <c r="Q79" s="1425"/>
      <c r="R79" s="1146"/>
      <c r="S79" s="1146"/>
      <c r="T79" s="1146"/>
      <c r="U79" s="1146"/>
      <c r="V79" s="1146"/>
      <c r="W79" s="1146"/>
      <c r="X79" s="1146"/>
      <c r="Y79" s="1146"/>
      <c r="Z79" s="1146"/>
      <c r="AA79" s="1146"/>
      <c r="AB79" s="1146"/>
      <c r="AC79" s="1146"/>
    </row>
    <row r="80" spans="1:29" ht="15.75" thickBot="1">
      <c r="A80" s="535"/>
      <c r="B80" s="544"/>
      <c r="C80" s="545">
        <v>100</v>
      </c>
      <c r="D80" s="545">
        <f t="shared" ref="D80:M80" si="14">C80-$K26</f>
        <v>100</v>
      </c>
      <c r="E80" s="545">
        <f t="shared" si="14"/>
        <v>100</v>
      </c>
      <c r="F80" s="545">
        <f t="shared" si="14"/>
        <v>100</v>
      </c>
      <c r="G80" s="545">
        <f t="shared" si="14"/>
        <v>100</v>
      </c>
      <c r="H80" s="545">
        <f t="shared" si="14"/>
        <v>100</v>
      </c>
      <c r="I80" s="545">
        <f t="shared" si="14"/>
        <v>100</v>
      </c>
      <c r="J80" s="545">
        <f t="shared" si="14"/>
        <v>100</v>
      </c>
      <c r="K80" s="545">
        <f t="shared" si="14"/>
        <v>100</v>
      </c>
      <c r="L80" s="545">
        <f t="shared" si="14"/>
        <v>100</v>
      </c>
      <c r="M80" s="546">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5"/>
      <c r="B81" s="539" t="s">
        <v>2728</v>
      </c>
      <c r="C81" s="662"/>
      <c r="D81" s="662"/>
      <c r="E81" s="662"/>
      <c r="F81" s="662"/>
      <c r="G81" s="662"/>
      <c r="H81" s="662"/>
      <c r="I81" s="662"/>
      <c r="J81" s="662"/>
      <c r="K81" s="663"/>
      <c r="L81" s="664"/>
      <c r="M81" s="665"/>
      <c r="N81" s="1153"/>
      <c r="O81" s="1153"/>
      <c r="P81" s="1431"/>
      <c r="Q81" s="1425"/>
      <c r="R81" s="1146"/>
      <c r="S81" s="1146"/>
      <c r="T81" s="1146"/>
      <c r="U81" s="1146"/>
      <c r="V81" s="1146"/>
      <c r="W81" s="1146"/>
      <c r="X81" s="1146"/>
      <c r="Y81" s="1146"/>
      <c r="Z81" s="1146"/>
      <c r="AA81" s="1146"/>
      <c r="AB81" s="1146"/>
      <c r="AC81" s="1146"/>
    </row>
    <row r="82" spans="1:29" s="472" customFormat="1" ht="15.75" thickBot="1">
      <c r="A82" s="554"/>
      <c r="B82" s="544"/>
      <c r="C82" s="561"/>
      <c r="D82" s="537"/>
      <c r="E82" s="537"/>
      <c r="F82" s="537"/>
      <c r="G82" s="537"/>
      <c r="H82" s="537"/>
      <c r="I82" s="537"/>
      <c r="J82" s="537"/>
      <c r="K82" s="537"/>
      <c r="L82" s="537"/>
      <c r="M82" s="538"/>
      <c r="N82" s="1155"/>
      <c r="O82" s="1155"/>
      <c r="P82" s="1432"/>
      <c r="Q82" s="1433"/>
      <c r="R82" s="1434"/>
      <c r="S82" s="1434"/>
      <c r="T82" s="1434"/>
      <c r="U82" s="1434"/>
      <c r="V82" s="1434"/>
      <c r="W82" s="1434"/>
      <c r="X82" s="1434"/>
      <c r="Y82" s="1434"/>
      <c r="Z82" s="1434"/>
      <c r="AA82" s="1434"/>
      <c r="AB82" s="1434"/>
      <c r="AC82" s="1434"/>
    </row>
    <row r="83" spans="1:29" ht="15" thickTop="1">
      <c r="A83" s="600"/>
      <c r="B83" s="539" t="s">
        <v>2613</v>
      </c>
      <c r="C83" s="555"/>
      <c r="D83" s="555"/>
      <c r="E83" s="584"/>
      <c r="F83" s="584"/>
      <c r="G83" s="584"/>
      <c r="H83" s="584"/>
      <c r="I83" s="584"/>
      <c r="J83" s="584"/>
      <c r="K83" s="585"/>
      <c r="L83" s="586"/>
      <c r="M83" s="587"/>
      <c r="N83" s="1154"/>
      <c r="O83" s="1154"/>
      <c r="P83" s="1431"/>
      <c r="Q83" s="1425"/>
      <c r="R83" s="1146"/>
      <c r="S83" s="1146"/>
      <c r="T83" s="1146"/>
      <c r="U83" s="1146"/>
      <c r="V83" s="1146"/>
      <c r="W83" s="1146"/>
      <c r="X83" s="1146"/>
      <c r="Y83" s="1146"/>
      <c r="Z83" s="1146"/>
      <c r="AA83" s="1146"/>
      <c r="AB83" s="1146"/>
      <c r="AC83" s="1146"/>
    </row>
    <row r="84" spans="1:29" ht="15.75" thickBot="1">
      <c r="A84" s="535"/>
      <c r="B84" s="544"/>
      <c r="C84" s="545">
        <v>100</v>
      </c>
      <c r="D84" s="545">
        <f t="shared" ref="D84:M84" si="15">C84-$K28</f>
        <v>100</v>
      </c>
      <c r="E84" s="545">
        <f t="shared" si="15"/>
        <v>100</v>
      </c>
      <c r="F84" s="545">
        <f t="shared" si="15"/>
        <v>100</v>
      </c>
      <c r="G84" s="545">
        <f t="shared" si="15"/>
        <v>100</v>
      </c>
      <c r="H84" s="545">
        <f t="shared" si="15"/>
        <v>100</v>
      </c>
      <c r="I84" s="545">
        <f t="shared" si="15"/>
        <v>100</v>
      </c>
      <c r="J84" s="545">
        <f t="shared" si="15"/>
        <v>100</v>
      </c>
      <c r="K84" s="545">
        <f t="shared" si="15"/>
        <v>100</v>
      </c>
      <c r="L84" s="545">
        <f t="shared" si="15"/>
        <v>100</v>
      </c>
      <c r="M84" s="546">
        <f t="shared" si="15"/>
        <v>100</v>
      </c>
      <c r="N84" s="1155"/>
      <c r="O84" s="1155"/>
      <c r="P84" s="1431"/>
      <c r="Q84" s="1425"/>
      <c r="R84" s="1146"/>
      <c r="S84" s="1146"/>
      <c r="T84" s="1146"/>
      <c r="U84" s="1146"/>
      <c r="V84" s="1146"/>
      <c r="W84" s="1146"/>
      <c r="X84" s="1146"/>
      <c r="Y84" s="1146"/>
      <c r="Z84" s="1146"/>
      <c r="AA84" s="1146"/>
      <c r="AB84" s="1146"/>
      <c r="AC84" s="1146"/>
    </row>
    <row r="85" spans="1:29" ht="15" thickTop="1">
      <c r="A85" s="600"/>
      <c r="B85" s="539" t="s">
        <v>2729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4"/>
      <c r="O85" s="1154"/>
      <c r="P85" s="1431"/>
      <c r="Q85" s="1425"/>
      <c r="R85" s="1146"/>
      <c r="S85" s="1146"/>
      <c r="T85" s="1146"/>
      <c r="U85" s="1146"/>
      <c r="V85" s="1146"/>
      <c r="W85" s="1146"/>
      <c r="X85" s="1146"/>
      <c r="Y85" s="1146"/>
      <c r="Z85" s="1146"/>
      <c r="AA85" s="1146"/>
      <c r="AB85" s="1146"/>
      <c r="AC85" s="1146"/>
    </row>
    <row r="86" spans="1:29">
      <c r="A86" s="600"/>
      <c r="B86" s="547"/>
      <c r="C86" s="604">
        <v>0.5</v>
      </c>
      <c r="D86" s="604">
        <v>0.6</v>
      </c>
      <c r="E86" s="604">
        <v>0.7</v>
      </c>
      <c r="F86" s="604">
        <v>0.8</v>
      </c>
      <c r="G86" s="604">
        <v>0.9</v>
      </c>
      <c r="H86" s="604">
        <v>1.0001</v>
      </c>
      <c r="I86" s="624"/>
      <c r="J86" s="624"/>
      <c r="K86" s="625"/>
      <c r="L86" s="626"/>
      <c r="M86" s="627"/>
      <c r="N86" s="1154"/>
      <c r="O86" s="1154"/>
      <c r="P86" s="1431"/>
      <c r="Q86" s="1425"/>
      <c r="R86" s="1146"/>
      <c r="S86" s="1146"/>
      <c r="T86" s="1146"/>
      <c r="U86" s="1146"/>
      <c r="V86" s="1146"/>
      <c r="W86" s="1146"/>
      <c r="X86" s="1146"/>
      <c r="Y86" s="1146"/>
      <c r="Z86" s="1146"/>
      <c r="AA86" s="1146"/>
      <c r="AB86" s="1146"/>
      <c r="AC86" s="1146"/>
    </row>
    <row r="87" spans="1:29" ht="15.75" thickBot="1">
      <c r="A87" s="535"/>
      <c r="B87" s="544"/>
      <c r="C87" s="583">
        <v>100</v>
      </c>
      <c r="D87" s="545">
        <f>C87+$K$29</f>
        <v>100</v>
      </c>
      <c r="E87" s="545">
        <f t="shared" ref="E87:M87" si="16">D87+$K$29</f>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5"/>
      <c r="O87" s="1155"/>
      <c r="P87" s="1431"/>
      <c r="Q87" s="1425"/>
      <c r="R87" s="1146"/>
      <c r="S87" s="1146"/>
      <c r="T87" s="1146"/>
      <c r="U87" s="1146"/>
      <c r="V87" s="1146"/>
      <c r="W87" s="1146"/>
      <c r="X87" s="1146"/>
      <c r="Y87" s="1146"/>
      <c r="Z87" s="1146"/>
      <c r="AA87" s="1146"/>
      <c r="AB87" s="1146"/>
      <c r="AC87" s="1146"/>
    </row>
    <row r="88" spans="1:29" ht="15" thickTop="1">
      <c r="A88" s="600"/>
      <c r="B88" s="547" t="s">
        <v>2730</v>
      </c>
      <c r="C88" s="531"/>
      <c r="D88" s="531"/>
      <c r="E88" s="531"/>
      <c r="F88" s="531"/>
      <c r="G88" s="531"/>
      <c r="H88" s="531"/>
      <c r="I88" s="531"/>
      <c r="J88" s="531"/>
      <c r="K88" s="532"/>
      <c r="L88" s="533"/>
      <c r="M88" s="534"/>
      <c r="N88" s="1154"/>
      <c r="O88" s="1154"/>
      <c r="P88" s="1431"/>
      <c r="Q88" s="1425"/>
      <c r="R88" s="1146"/>
      <c r="S88" s="1146"/>
      <c r="T88" s="1146"/>
      <c r="U88" s="1146"/>
      <c r="V88" s="1146"/>
      <c r="W88" s="1146"/>
      <c r="X88" s="1146"/>
      <c r="Y88" s="1146"/>
      <c r="Z88" s="1146"/>
      <c r="AA88" s="1146"/>
      <c r="AB88" s="1146"/>
      <c r="AC88" s="1146"/>
    </row>
    <row r="89" spans="1:29" ht="15.75" thickBot="1">
      <c r="A89" s="535"/>
      <c r="B89" s="544"/>
      <c r="C89" s="583">
        <v>100</v>
      </c>
      <c r="D89" s="545">
        <f t="shared" ref="D89:M89" si="17">C89+$K30</f>
        <v>100</v>
      </c>
      <c r="E89" s="545">
        <f t="shared" si="17"/>
        <v>100</v>
      </c>
      <c r="F89" s="545">
        <f t="shared" si="17"/>
        <v>100</v>
      </c>
      <c r="G89" s="545">
        <f t="shared" si="17"/>
        <v>100</v>
      </c>
      <c r="H89" s="545">
        <f t="shared" si="17"/>
        <v>100</v>
      </c>
      <c r="I89" s="545">
        <f t="shared" si="17"/>
        <v>100</v>
      </c>
      <c r="J89" s="545">
        <f t="shared" si="17"/>
        <v>100</v>
      </c>
      <c r="K89" s="545">
        <f t="shared" si="17"/>
        <v>100</v>
      </c>
      <c r="L89" s="545">
        <f t="shared" si="17"/>
        <v>100</v>
      </c>
      <c r="M89" s="545">
        <f t="shared" si="17"/>
        <v>100</v>
      </c>
      <c r="N89" s="1155"/>
      <c r="O89" s="1155"/>
      <c r="P89" s="1431"/>
      <c r="Q89" s="1425"/>
      <c r="R89" s="1146"/>
      <c r="S89" s="1146"/>
      <c r="T89" s="1146"/>
      <c r="U89" s="1146"/>
      <c r="V89" s="1146"/>
      <c r="W89" s="1146"/>
      <c r="X89" s="1146"/>
      <c r="Y89" s="1146"/>
      <c r="Z89" s="1146"/>
      <c r="AA89" s="1146"/>
      <c r="AB89" s="1146"/>
      <c r="AC89" s="1146"/>
    </row>
    <row r="90" spans="1:29" s="472" customFormat="1" ht="15" thickTop="1">
      <c r="A90" s="594"/>
      <c r="B90" s="539" t="s">
        <v>2731</v>
      </c>
      <c r="C90" s="579" t="str">
        <f>C91&amp;"(含)"&amp;"-"&amp;D91</f>
        <v>(含)-</v>
      </c>
      <c r="D90" s="579" t="str">
        <f t="shared" ref="D90:L90" si="18">D91&amp;"(含)"&amp;"-"&amp;E91</f>
        <v>(含)-</v>
      </c>
      <c r="E90" s="579" t="str">
        <f t="shared" si="18"/>
        <v>(含)-</v>
      </c>
      <c r="F90" s="579" t="str">
        <f t="shared" si="18"/>
        <v>(含)-</v>
      </c>
      <c r="G90" s="579" t="str">
        <f t="shared" si="18"/>
        <v>(含)-</v>
      </c>
      <c r="H90" s="579" t="str">
        <f t="shared" si="18"/>
        <v>(含)-</v>
      </c>
      <c r="I90" s="579" t="str">
        <f t="shared" si="18"/>
        <v>(含)-</v>
      </c>
      <c r="J90" s="579" t="str">
        <f t="shared" si="18"/>
        <v>(含)-</v>
      </c>
      <c r="K90" s="579" t="str">
        <f t="shared" si="18"/>
        <v>(含)-</v>
      </c>
      <c r="L90" s="579" t="str">
        <f t="shared" si="18"/>
        <v>(含)-</v>
      </c>
      <c r="M90" s="623" t="str">
        <f>M91&amp;"(含)"&amp;"-"&amp;P91</f>
        <v>(含)-</v>
      </c>
      <c r="N90" s="1156"/>
      <c r="O90" s="1156"/>
      <c r="P90" s="1432"/>
      <c r="Q90" s="1433"/>
      <c r="R90" s="1434"/>
      <c r="S90" s="1434"/>
      <c r="T90" s="1434"/>
      <c r="U90" s="1434"/>
      <c r="V90" s="1434"/>
      <c r="W90" s="1434"/>
      <c r="X90" s="1434"/>
      <c r="Y90" s="1434"/>
      <c r="Z90" s="1434"/>
      <c r="AA90" s="1434"/>
      <c r="AB90" s="1434"/>
      <c r="AC90" s="1434"/>
    </row>
    <row r="91" spans="1:29" s="472" customFormat="1">
      <c r="A91" s="594"/>
      <c r="B91" s="547"/>
      <c r="C91" s="596"/>
      <c r="D91" s="596"/>
      <c r="E91" s="596"/>
      <c r="F91" s="596"/>
      <c r="G91" s="596"/>
      <c r="H91" s="596"/>
      <c r="I91" s="596"/>
      <c r="J91" s="597"/>
      <c r="K91" s="597"/>
      <c r="L91" s="598"/>
      <c r="M91" s="599"/>
      <c r="N91" s="1156"/>
      <c r="O91" s="1156"/>
      <c r="P91" s="1432"/>
      <c r="Q91" s="1433"/>
      <c r="R91" s="1434"/>
      <c r="S91" s="1434"/>
      <c r="T91" s="1434"/>
      <c r="U91" s="1434"/>
      <c r="V91" s="1434"/>
      <c r="W91" s="1434"/>
      <c r="X91" s="1434"/>
      <c r="Y91" s="1434"/>
      <c r="Z91" s="1434"/>
      <c r="AA91" s="1434"/>
      <c r="AB91" s="1434"/>
      <c r="AC91" s="1434"/>
    </row>
    <row r="92" spans="1:29" s="472" customFormat="1" ht="15.75" thickBot="1">
      <c r="A92" s="554"/>
      <c r="B92" s="544"/>
      <c r="C92" s="561"/>
      <c r="D92" s="537"/>
      <c r="E92" s="537"/>
      <c r="F92" s="537"/>
      <c r="G92" s="537"/>
      <c r="H92" s="537"/>
      <c r="I92" s="537"/>
      <c r="J92" s="537"/>
      <c r="K92" s="537"/>
      <c r="L92" s="537"/>
      <c r="M92" s="538"/>
      <c r="N92" s="1156"/>
      <c r="O92" s="1156"/>
      <c r="P92" s="1432"/>
      <c r="Q92" s="1433"/>
      <c r="R92" s="1434"/>
      <c r="S92" s="1434"/>
      <c r="T92" s="1434"/>
      <c r="U92" s="1434"/>
      <c r="V92" s="1434"/>
      <c r="W92" s="1434"/>
      <c r="X92" s="1434"/>
      <c r="Y92" s="1434"/>
      <c r="Z92" s="1434"/>
      <c r="AA92" s="1434"/>
      <c r="AB92" s="1434"/>
      <c r="AC92" s="1434"/>
    </row>
    <row r="93" spans="1:29" ht="15" thickTop="1">
      <c r="A93" s="600"/>
      <c r="B93" s="539" t="s">
        <v>2732</v>
      </c>
      <c r="C93" s="555"/>
      <c r="D93" s="555"/>
      <c r="E93" s="584"/>
      <c r="F93" s="584"/>
      <c r="G93" s="584"/>
      <c r="H93" s="584"/>
      <c r="I93" s="584"/>
      <c r="J93" s="584"/>
      <c r="K93" s="585"/>
      <c r="L93" s="586"/>
      <c r="M93" s="587"/>
      <c r="N93" s="1154"/>
      <c r="O93" s="1154"/>
      <c r="P93" s="1431"/>
      <c r="Q93" s="1425"/>
      <c r="R93" s="1146"/>
      <c r="S93" s="1146"/>
      <c r="T93" s="1146"/>
      <c r="U93" s="1146"/>
      <c r="V93" s="1146"/>
      <c r="W93" s="1146"/>
      <c r="X93" s="1146"/>
      <c r="Y93" s="1146"/>
      <c r="Z93" s="1146"/>
      <c r="AA93" s="1146"/>
      <c r="AB93" s="1146"/>
      <c r="AC93" s="1146"/>
    </row>
    <row r="94" spans="1:29" ht="15.75" thickBot="1">
      <c r="A94" s="535"/>
      <c r="B94" s="544"/>
      <c r="C94" s="545">
        <v>100</v>
      </c>
      <c r="D94" s="545">
        <f t="shared" ref="D94:M94" si="19">C94-$K32</f>
        <v>100</v>
      </c>
      <c r="E94" s="545">
        <f t="shared" si="19"/>
        <v>100</v>
      </c>
      <c r="F94" s="545">
        <f t="shared" si="19"/>
        <v>100</v>
      </c>
      <c r="G94" s="545">
        <f t="shared" si="19"/>
        <v>100</v>
      </c>
      <c r="H94" s="545">
        <f t="shared" si="19"/>
        <v>100</v>
      </c>
      <c r="I94" s="545">
        <f t="shared" si="19"/>
        <v>100</v>
      </c>
      <c r="J94" s="545">
        <f t="shared" si="19"/>
        <v>100</v>
      </c>
      <c r="K94" s="545">
        <f t="shared" si="19"/>
        <v>100</v>
      </c>
      <c r="L94" s="545">
        <f t="shared" si="19"/>
        <v>100</v>
      </c>
      <c r="M94" s="546">
        <f t="shared" si="19"/>
        <v>100</v>
      </c>
      <c r="N94" s="1155"/>
      <c r="O94" s="1155"/>
      <c r="P94" s="1431"/>
      <c r="Q94" s="1425"/>
      <c r="R94" s="1146"/>
      <c r="S94" s="1146"/>
      <c r="T94" s="1146"/>
      <c r="U94" s="1146"/>
      <c r="V94" s="1146"/>
      <c r="W94" s="1146"/>
      <c r="X94" s="1146"/>
      <c r="Y94" s="1146"/>
      <c r="Z94" s="1146"/>
      <c r="AA94" s="1146"/>
      <c r="AB94" s="1146"/>
      <c r="AC94" s="1146"/>
    </row>
    <row r="95" spans="1:29" ht="15" thickTop="1">
      <c r="A95" s="600"/>
      <c r="B95" s="539" t="s">
        <v>2733</v>
      </c>
      <c r="C95" s="531"/>
      <c r="D95" s="531"/>
      <c r="E95" s="531"/>
      <c r="F95" s="531"/>
      <c r="G95" s="531"/>
      <c r="H95" s="531"/>
      <c r="I95" s="531"/>
      <c r="J95" s="531"/>
      <c r="K95" s="532"/>
      <c r="L95" s="533"/>
      <c r="M95" s="534"/>
      <c r="N95" s="1154"/>
      <c r="O95" s="1154"/>
      <c r="P95" s="1431"/>
      <c r="Q95" s="1425"/>
      <c r="R95" s="1146"/>
      <c r="S95" s="1146"/>
      <c r="T95" s="1146"/>
      <c r="U95" s="1146"/>
      <c r="V95" s="1146"/>
      <c r="W95" s="1146"/>
      <c r="X95" s="1146"/>
      <c r="Y95" s="1146"/>
      <c r="Z95" s="1146"/>
      <c r="AA95" s="1146"/>
      <c r="AB95" s="1146"/>
      <c r="AC95" s="1146"/>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5"/>
      <c r="O96" s="1155"/>
      <c r="P96" s="1431"/>
      <c r="Q96" s="1425"/>
      <c r="R96" s="1146"/>
      <c r="S96" s="1146"/>
      <c r="T96" s="1146"/>
      <c r="U96" s="1146"/>
      <c r="V96" s="1146"/>
      <c r="W96" s="1146"/>
      <c r="X96" s="1146"/>
      <c r="Y96" s="1146"/>
      <c r="Z96" s="1146"/>
      <c r="AA96" s="1146"/>
      <c r="AB96" s="1146"/>
      <c r="AC96" s="1146"/>
    </row>
    <row r="97" spans="1:29" ht="15" thickTop="1">
      <c r="A97" s="600"/>
      <c r="B97" s="637">
        <f>B34</f>
        <v>111</v>
      </c>
      <c r="C97" s="550"/>
      <c r="D97" s="550"/>
      <c r="E97" s="550"/>
      <c r="F97" s="550"/>
      <c r="G97" s="555"/>
      <c r="H97" s="556"/>
      <c r="I97" s="556"/>
      <c r="J97" s="556"/>
      <c r="K97" s="556"/>
      <c r="L97" s="557"/>
      <c r="M97" s="558"/>
      <c r="N97" s="1155"/>
      <c r="O97" s="1155"/>
      <c r="P97" s="1438"/>
      <c r="Q97" s="1439"/>
      <c r="R97" s="1146"/>
      <c r="S97" s="1146"/>
      <c r="T97" s="1146"/>
      <c r="U97" s="1146"/>
      <c r="V97" s="1146"/>
      <c r="W97" s="1146"/>
      <c r="X97" s="1146"/>
      <c r="Y97" s="1146"/>
      <c r="Z97" s="1146"/>
      <c r="AA97" s="1146"/>
      <c r="AB97" s="1146"/>
      <c r="AC97" s="1146"/>
    </row>
    <row r="98" spans="1:29" ht="15.75" thickBot="1">
      <c r="A98" s="535"/>
      <c r="B98" s="544"/>
      <c r="C98" s="561"/>
      <c r="D98" s="537"/>
      <c r="E98" s="537"/>
      <c r="F98" s="537"/>
      <c r="G98" s="561"/>
      <c r="H98" s="563"/>
      <c r="I98" s="563"/>
      <c r="J98" s="563"/>
      <c r="K98" s="563"/>
      <c r="L98" s="563"/>
      <c r="M98" s="564"/>
      <c r="N98" s="1155"/>
      <c r="O98" s="1155"/>
      <c r="P98" s="1431"/>
      <c r="Q98" s="1425"/>
      <c r="R98" s="1146"/>
      <c r="S98" s="1146"/>
      <c r="T98" s="1146"/>
      <c r="U98" s="1146"/>
      <c r="V98" s="1146"/>
      <c r="W98" s="1146"/>
      <c r="X98" s="1146"/>
      <c r="Y98" s="1146"/>
      <c r="Z98" s="1146"/>
      <c r="AA98" s="1146"/>
      <c r="AB98" s="1146"/>
      <c r="AC98" s="1146"/>
    </row>
    <row r="99" spans="1:29" s="472" customFormat="1" ht="15" thickTop="1">
      <c r="A99" s="594"/>
      <c r="B99" s="539">
        <f>B35</f>
        <v>111</v>
      </c>
      <c r="C99" s="550"/>
      <c r="D99" s="550"/>
      <c r="E99" s="550"/>
      <c r="F99" s="550"/>
      <c r="G99" s="555"/>
      <c r="H99" s="556"/>
      <c r="I99" s="556"/>
      <c r="J99" s="556"/>
      <c r="K99" s="556"/>
      <c r="L99" s="557"/>
      <c r="M99" s="558"/>
      <c r="N99" s="1156"/>
      <c r="O99" s="1156"/>
      <c r="P99" s="1432"/>
      <c r="Q99" s="1433"/>
      <c r="R99" s="1434"/>
      <c r="S99" s="1434"/>
      <c r="T99" s="1434"/>
      <c r="U99" s="1434"/>
      <c r="V99" s="1434"/>
      <c r="W99" s="1434"/>
      <c r="X99" s="1434"/>
      <c r="Y99" s="1434"/>
      <c r="Z99" s="1434"/>
      <c r="AA99" s="1434"/>
      <c r="AB99" s="1434"/>
      <c r="AC99" s="1434"/>
    </row>
    <row r="100" spans="1:29" s="472" customFormat="1" ht="15.75" thickBot="1">
      <c r="A100" s="554"/>
      <c r="B100" s="536"/>
      <c r="C100" s="561"/>
      <c r="D100" s="537"/>
      <c r="E100" s="537"/>
      <c r="F100" s="537"/>
      <c r="G100" s="561"/>
      <c r="H100" s="563"/>
      <c r="I100" s="563"/>
      <c r="J100" s="563"/>
      <c r="K100" s="563"/>
      <c r="L100" s="563"/>
      <c r="M100" s="564"/>
      <c r="N100" s="1156"/>
      <c r="O100" s="1156"/>
      <c r="P100" s="1432"/>
      <c r="Q100" s="1433"/>
      <c r="R100" s="1434"/>
      <c r="S100" s="1434"/>
      <c r="T100" s="1434"/>
      <c r="U100" s="1434"/>
      <c r="V100" s="1434"/>
      <c r="W100" s="1434"/>
      <c r="X100" s="1434"/>
      <c r="Y100" s="1434"/>
      <c r="Z100" s="1434"/>
      <c r="AA100" s="1434"/>
      <c r="AB100" s="1434"/>
      <c r="AC100" s="1434"/>
    </row>
    <row r="101" spans="1:29" ht="15" thickTop="1">
      <c r="A101" s="600"/>
      <c r="B101" s="539">
        <f>B36</f>
        <v>111</v>
      </c>
      <c r="C101" s="555"/>
      <c r="D101" s="555"/>
      <c r="E101" s="555"/>
      <c r="F101" s="555"/>
      <c r="G101" s="555"/>
      <c r="H101" s="556"/>
      <c r="I101" s="556"/>
      <c r="J101" s="556"/>
      <c r="K101" s="556"/>
      <c r="L101" s="557"/>
      <c r="M101" s="558"/>
      <c r="N101" s="1154"/>
      <c r="O101" s="1154"/>
      <c r="P101" s="1431"/>
      <c r="Q101" s="1425"/>
      <c r="R101" s="1146"/>
      <c r="S101" s="1146"/>
      <c r="T101" s="1146"/>
      <c r="U101" s="1146"/>
      <c r="V101" s="1146"/>
      <c r="W101" s="1146"/>
      <c r="X101" s="1146"/>
      <c r="Y101" s="1146"/>
      <c r="Z101" s="1146"/>
      <c r="AA101" s="1146"/>
      <c r="AB101" s="1146"/>
      <c r="AC101" s="1146"/>
    </row>
    <row r="102" spans="1:29" ht="15.75" thickBot="1">
      <c r="A102" s="535"/>
      <c r="B102" s="544"/>
      <c r="C102" s="561"/>
      <c r="D102" s="561"/>
      <c r="E102" s="561"/>
      <c r="F102" s="561"/>
      <c r="G102" s="561"/>
      <c r="H102" s="563"/>
      <c r="I102" s="563"/>
      <c r="J102" s="563"/>
      <c r="K102" s="563"/>
      <c r="L102" s="563"/>
      <c r="M102" s="564"/>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2704</v>
      </c>
      <c r="B1" s="1622"/>
      <c r="C1" s="1623" t="s">
        <v>2528</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2325</v>
      </c>
      <c r="B2" s="1420" t="e">
        <f ca="1">IF(C2="——",ROUND(C37*D3/10000,0),ROUND(C37*D3/10000,0)-D2)</f>
        <v>#DIV/0!</v>
      </c>
      <c r="C2" s="2589"/>
      <c r="D2" s="1126" t="e">
        <f ca="1">SUMIF(INDIRECT("'"&amp;F2&amp;"'"&amp;"!A:A"),"承租人权益价值",INDIRECT("'"&amp;F2&amp;"'"&amp;"!c:c"))</f>
        <v>#REF!</v>
      </c>
      <c r="E2" s="2590" t="s">
        <v>2326</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2327</v>
      </c>
      <c r="B3" s="610" t="e">
        <f ca="1">IF(C2="——",C37,ROUND(B2*10000/D3,0))</f>
        <v>#DIV/0!</v>
      </c>
      <c r="C3" s="401" t="s">
        <v>2641</v>
      </c>
      <c r="D3" s="400">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2642</v>
      </c>
      <c r="B4" s="403"/>
      <c r="C4" s="3165" t="s">
        <v>2643</v>
      </c>
      <c r="D4" s="3166"/>
      <c r="E4" s="3167" t="s">
        <v>2644</v>
      </c>
      <c r="F4" s="3168"/>
      <c r="G4" s="3165" t="s">
        <v>2645</v>
      </c>
      <c r="H4" s="3166"/>
      <c r="I4" s="3165" t="s">
        <v>2646</v>
      </c>
      <c r="J4" s="3166"/>
      <c r="K4" s="611" t="s">
        <v>2647</v>
      </c>
      <c r="L4" s="1132"/>
      <c r="M4" s="1133"/>
      <c r="N4" s="1133"/>
      <c r="O4" s="1133"/>
      <c r="P4" s="3169" t="s">
        <v>2648</v>
      </c>
      <c r="Q4" s="3170"/>
      <c r="R4" s="3151" t="s">
        <v>2644</v>
      </c>
      <c r="S4" s="3152"/>
      <c r="T4" s="3151" t="s">
        <v>2645</v>
      </c>
      <c r="U4" s="3152"/>
      <c r="V4" s="3177" t="s">
        <v>2646</v>
      </c>
      <c r="W4" s="3177"/>
      <c r="X4" s="1816"/>
      <c r="Y4" s="3151" t="s">
        <v>2648</v>
      </c>
      <c r="Z4" s="3152"/>
      <c r="AA4" s="3146" t="s">
        <v>2644</v>
      </c>
      <c r="AB4" s="3147" t="s">
        <v>2645</v>
      </c>
      <c r="AC4" s="3146" t="s">
        <v>2646</v>
      </c>
    </row>
    <row r="5" spans="1:29" ht="15">
      <c r="A5" s="405"/>
      <c r="B5" s="406"/>
      <c r="C5" s="3157" t="s">
        <v>2540</v>
      </c>
      <c r="D5" s="3158"/>
      <c r="E5" s="3227" t="s">
        <v>2541</v>
      </c>
      <c r="F5" s="3156"/>
      <c r="G5" s="3157" t="s">
        <v>2542</v>
      </c>
      <c r="H5" s="3158"/>
      <c r="I5" s="3157" t="s">
        <v>2543</v>
      </c>
      <c r="J5" s="3158"/>
      <c r="K5" s="611"/>
      <c r="L5" s="1132"/>
      <c r="M5" s="1133"/>
      <c r="N5" s="1133"/>
      <c r="O5" s="1133"/>
      <c r="P5" s="3171"/>
      <c r="Q5" s="3172"/>
      <c r="R5" s="3153"/>
      <c r="S5" s="3154"/>
      <c r="T5" s="3153"/>
      <c r="U5" s="3154"/>
      <c r="V5" s="3177"/>
      <c r="W5" s="3177"/>
      <c r="X5" s="1816"/>
      <c r="Y5" s="3153"/>
      <c r="Z5" s="3154"/>
      <c r="AA5" s="3147"/>
      <c r="AB5" s="3147"/>
      <c r="AC5" s="3147"/>
    </row>
    <row r="6" spans="1:29" ht="15.75" thickBot="1">
      <c r="A6" s="407"/>
      <c r="B6" s="408"/>
      <c r="C6" s="3159" t="s">
        <v>2544</v>
      </c>
      <c r="D6" s="3160"/>
      <c r="E6" s="3162" t="s">
        <v>2544</v>
      </c>
      <c r="F6" s="3163"/>
      <c r="G6" s="3159" t="s">
        <v>2544</v>
      </c>
      <c r="H6" s="3160"/>
      <c r="I6" s="3159" t="s">
        <v>2544</v>
      </c>
      <c r="J6" s="3160"/>
      <c r="K6" s="611" t="s">
        <v>2545</v>
      </c>
      <c r="L6" s="1132"/>
      <c r="M6" s="1133"/>
      <c r="N6" s="1133"/>
      <c r="O6" s="1133"/>
      <c r="P6" s="3173"/>
      <c r="Q6" s="3174"/>
      <c r="R6" s="3153"/>
      <c r="S6" s="3154"/>
      <c r="T6" s="3175"/>
      <c r="U6" s="3176"/>
      <c r="V6" s="3177"/>
      <c r="W6" s="3177"/>
      <c r="X6" s="1816"/>
      <c r="Y6" s="3175"/>
      <c r="Z6" s="3176"/>
      <c r="AA6" s="3148"/>
      <c r="AB6" s="3148"/>
      <c r="AC6" s="3148"/>
    </row>
    <row r="7" spans="1:29" s="117" customFormat="1" ht="15.75" thickBot="1">
      <c r="A7" s="409" t="s">
        <v>2546</v>
      </c>
      <c r="B7" s="410"/>
      <c r="C7" s="411">
        <f>'数据-取费表'!B2</f>
        <v>43040</v>
      </c>
      <c r="D7" s="412">
        <v>100</v>
      </c>
      <c r="E7" s="413"/>
      <c r="F7" s="414">
        <f>SUMIF(46:46,YEAR(E7)&amp;"-"&amp;MONTH(E7),47:47)</f>
        <v>0</v>
      </c>
      <c r="G7" s="2699"/>
      <c r="H7" s="412">
        <f>SUMIF(46:46,YEAR(G7)&amp;"-"&amp;MONTH(G7),47:47)</f>
        <v>0</v>
      </c>
      <c r="I7" s="413"/>
      <c r="J7" s="412">
        <f>SUMIF(46:46,YEAR(I7)&amp;"-"&amp;MONTH(I7),47:47)</f>
        <v>0</v>
      </c>
      <c r="K7" s="612"/>
      <c r="L7" s="1134"/>
      <c r="M7" s="1135"/>
      <c r="N7" s="1135"/>
      <c r="O7" s="1135"/>
      <c r="P7" s="3149" t="s">
        <v>2547</v>
      </c>
      <c r="Q7" s="3178"/>
      <c r="R7" s="769" t="s">
        <v>17</v>
      </c>
      <c r="S7" s="770">
        <f t="shared" ref="S7:S14" si="0">F7</f>
        <v>0</v>
      </c>
      <c r="T7" s="769" t="s">
        <v>17</v>
      </c>
      <c r="U7" s="770">
        <f t="shared" ref="U7:U14" si="1">H7</f>
        <v>0</v>
      </c>
      <c r="V7" s="769" t="s">
        <v>17</v>
      </c>
      <c r="W7" s="770">
        <f t="shared" ref="W7:W14" si="2">J7</f>
        <v>0</v>
      </c>
      <c r="X7" s="771"/>
      <c r="Y7" s="3149" t="s">
        <v>2547</v>
      </c>
      <c r="Z7" s="3150"/>
      <c r="AA7" s="772" t="e">
        <f>D7/F7</f>
        <v>#DIV/0!</v>
      </c>
      <c r="AB7" s="772" t="e">
        <f>D7/H7</f>
        <v>#DIV/0!</v>
      </c>
      <c r="AC7" s="772" t="e">
        <f>D7/J7</f>
        <v>#DIV/0!</v>
      </c>
    </row>
    <row r="8" spans="1:29" s="117" customFormat="1" ht="15.75" thickBot="1">
      <c r="A8" s="409" t="s">
        <v>2548</v>
      </c>
      <c r="B8" s="410"/>
      <c r="C8" s="415" t="s">
        <v>2649</v>
      </c>
      <c r="D8" s="412">
        <v>100</v>
      </c>
      <c r="E8" s="415"/>
      <c r="F8" s="414">
        <f>SUMIF(49:49,E8,50:50)-SUMIF(49:49,C8,50:50)+100</f>
        <v>0</v>
      </c>
      <c r="G8" s="415"/>
      <c r="H8" s="412">
        <f>SUMIF(49:49,G8,50:50)-SUMIF(49:49,C8,50:50)+100</f>
        <v>0</v>
      </c>
      <c r="I8" s="415"/>
      <c r="J8" s="412">
        <f>SUMIF(49:49,I8,50:50)-SUMIF(49:49,C8,50:50)+100</f>
        <v>0</v>
      </c>
      <c r="K8" s="612"/>
      <c r="L8" s="1134"/>
      <c r="M8" s="1135"/>
      <c r="N8" s="1135"/>
      <c r="O8" s="1135"/>
      <c r="P8" s="3149" t="s">
        <v>2550</v>
      </c>
      <c r="Q8" s="3150"/>
      <c r="R8" s="769" t="s">
        <v>17</v>
      </c>
      <c r="S8" s="770">
        <f t="shared" si="0"/>
        <v>0</v>
      </c>
      <c r="T8" s="769" t="s">
        <v>17</v>
      </c>
      <c r="U8" s="770">
        <f t="shared" si="1"/>
        <v>0</v>
      </c>
      <c r="V8" s="769" t="s">
        <v>17</v>
      </c>
      <c r="W8" s="770">
        <f t="shared" si="2"/>
        <v>0</v>
      </c>
      <c r="X8" s="771"/>
      <c r="Y8" s="3149" t="s">
        <v>2550</v>
      </c>
      <c r="Z8" s="3150"/>
      <c r="AA8" s="772" t="e">
        <f t="shared" ref="AA8:AA34" si="3">D8/F8</f>
        <v>#DIV/0!</v>
      </c>
      <c r="AB8" s="772" t="e">
        <f t="shared" ref="AB8:AB34" si="4">D8/H8</f>
        <v>#DIV/0!</v>
      </c>
      <c r="AC8" s="772"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4"/>
      <c r="M9" s="1135"/>
      <c r="N9" s="1135"/>
      <c r="O9" s="1136"/>
      <c r="P9" s="3182" t="s">
        <v>2553</v>
      </c>
      <c r="Q9" s="1798" t="str">
        <f t="shared" ref="Q9:Q14" si="6">B9</f>
        <v>用途</v>
      </c>
      <c r="R9" s="769" t="s">
        <v>17</v>
      </c>
      <c r="S9" s="770">
        <f t="shared" si="0"/>
        <v>100</v>
      </c>
      <c r="T9" s="769" t="s">
        <v>17</v>
      </c>
      <c r="U9" s="770">
        <f t="shared" si="1"/>
        <v>100</v>
      </c>
      <c r="V9" s="769" t="s">
        <v>17</v>
      </c>
      <c r="W9" s="770">
        <f t="shared" si="2"/>
        <v>100</v>
      </c>
      <c r="X9" s="771"/>
      <c r="Y9" s="3026" t="s">
        <v>2554</v>
      </c>
      <c r="Z9" s="55" t="str">
        <f t="shared" ref="Z9:Z14" si="7">Q9</f>
        <v>用途</v>
      </c>
      <c r="AA9" s="772">
        <f t="shared" si="3"/>
        <v>1</v>
      </c>
      <c r="AB9" s="772">
        <f t="shared" si="4"/>
        <v>1</v>
      </c>
      <c r="AC9" s="772">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7"/>
      <c r="M10" s="1138"/>
      <c r="N10" s="1138"/>
      <c r="O10" s="1139"/>
      <c r="P10" s="3182"/>
      <c r="Q10" s="1798" t="str">
        <f t="shared" si="6"/>
        <v>土地使用年限（年）</v>
      </c>
      <c r="R10" s="769" t="s">
        <v>17</v>
      </c>
      <c r="S10" s="770">
        <f t="shared" si="0"/>
        <v>100</v>
      </c>
      <c r="T10" s="769" t="s">
        <v>17</v>
      </c>
      <c r="U10" s="770">
        <f t="shared" si="1"/>
        <v>100</v>
      </c>
      <c r="V10" s="769" t="s">
        <v>17</v>
      </c>
      <c r="W10" s="770">
        <f t="shared" si="2"/>
        <v>100</v>
      </c>
      <c r="X10" s="771"/>
      <c r="Y10" s="3026"/>
      <c r="Z10" s="55" t="str">
        <f t="shared" si="7"/>
        <v>土地使用年限（年）</v>
      </c>
      <c r="AA10" s="772">
        <f t="shared" si="3"/>
        <v>1</v>
      </c>
      <c r="AB10" s="772">
        <f t="shared" si="4"/>
        <v>1</v>
      </c>
      <c r="AC10" s="772">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0"/>
      <c r="M11" s="1133"/>
      <c r="N11" s="1133"/>
      <c r="O11" s="1141"/>
      <c r="P11" s="3182"/>
      <c r="Q11" s="1798">
        <f t="shared" si="6"/>
        <v>111</v>
      </c>
      <c r="R11" s="769" t="s">
        <v>17</v>
      </c>
      <c r="S11" s="770">
        <f t="shared" si="0"/>
        <v>100</v>
      </c>
      <c r="T11" s="769" t="s">
        <v>17</v>
      </c>
      <c r="U11" s="770">
        <f t="shared" si="1"/>
        <v>100</v>
      </c>
      <c r="V11" s="769" t="s">
        <v>17</v>
      </c>
      <c r="W11" s="770">
        <f t="shared" si="2"/>
        <v>100</v>
      </c>
      <c r="X11" s="771"/>
      <c r="Y11" s="3026"/>
      <c r="Z11" s="55">
        <f t="shared" si="7"/>
        <v>111</v>
      </c>
      <c r="AA11" s="772">
        <f t="shared" si="3"/>
        <v>1</v>
      </c>
      <c r="AB11" s="772">
        <f t="shared" si="4"/>
        <v>1</v>
      </c>
      <c r="AC11" s="772">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4"/>
      <c r="M12" s="1135"/>
      <c r="N12" s="1135"/>
      <c r="O12" s="1136"/>
      <c r="P12" s="3182"/>
      <c r="Q12" s="1798">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2"/>
      <c r="M13" s="1133"/>
      <c r="N13" s="1133"/>
      <c r="O13" s="1141"/>
      <c r="P13" s="3182"/>
      <c r="Q13" s="1798">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71.25">
      <c r="A14" s="441" t="s">
        <v>2557</v>
      </c>
      <c r="B14" s="69" t="s">
        <v>2706</v>
      </c>
      <c r="C14" s="2696" t="str">
        <f>IF(B1="工业",估价对象房地状况!G4,估价对象房地状况!C6)</f>
        <v>估价对象周边道路通达、公共交通通达、停车便捷，综合评价交通便捷度好</v>
      </c>
      <c r="D14" s="442">
        <v>100</v>
      </c>
      <c r="E14" s="443"/>
      <c r="F14" s="444">
        <f>SUMIF(61:61,E15,62:62)-SUMIF(61:61,C15,62:62)+100</f>
        <v>100</v>
      </c>
      <c r="G14" s="445"/>
      <c r="H14" s="442">
        <f>SUMIF(61:61,G15,62:62)-SUMIF(61:61,C15,62:62)+100</f>
        <v>100</v>
      </c>
      <c r="I14" s="443"/>
      <c r="J14" s="442">
        <f>SUMIF(61:61,I15,62:62)-SUMIF(61:61,C15,62:62)+100</f>
        <v>100</v>
      </c>
      <c r="K14" s="615"/>
      <c r="L14" s="1142"/>
      <c r="M14" s="1133"/>
      <c r="N14" s="1133"/>
      <c r="O14" s="1141"/>
      <c r="P14" s="3184" t="s">
        <v>2558</v>
      </c>
      <c r="Q14" s="1813" t="str">
        <f t="shared" si="6"/>
        <v>交通便捷度</v>
      </c>
      <c r="R14" s="773" t="s">
        <v>17</v>
      </c>
      <c r="S14" s="774">
        <f t="shared" si="0"/>
        <v>100</v>
      </c>
      <c r="T14" s="773" t="s">
        <v>17</v>
      </c>
      <c r="U14" s="774">
        <f t="shared" si="1"/>
        <v>100</v>
      </c>
      <c r="V14" s="773" t="s">
        <v>17</v>
      </c>
      <c r="W14" s="774">
        <f t="shared" si="2"/>
        <v>100</v>
      </c>
      <c r="X14" s="1816"/>
      <c r="Y14" s="3184" t="s">
        <v>2558</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2"/>
      <c r="M15" s="1133"/>
      <c r="N15" s="1133"/>
      <c r="O15" s="1141"/>
      <c r="P15" s="3185"/>
      <c r="Q15" s="1813"/>
      <c r="R15" s="773"/>
      <c r="S15" s="774"/>
      <c r="T15" s="773"/>
      <c r="U15" s="774"/>
      <c r="V15" s="773"/>
      <c r="W15" s="774"/>
      <c r="X15" s="1816"/>
      <c r="Y15" s="3185"/>
      <c r="Z15" s="1817"/>
      <c r="AA15" s="1814">
        <v>1</v>
      </c>
      <c r="AB15" s="1814">
        <v>1</v>
      </c>
      <c r="AC15" s="1814">
        <v>1</v>
      </c>
    </row>
    <row r="16" spans="1:29" ht="42.75">
      <c r="A16" s="429"/>
      <c r="B16" s="452" t="s">
        <v>2685</v>
      </c>
      <c r="C16" s="2610"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2"/>
      <c r="M16" s="1133"/>
      <c r="N16" s="1133"/>
      <c r="O16" s="1141"/>
      <c r="P16" s="3185"/>
      <c r="Q16" s="1813" t="str">
        <f>B16</f>
        <v>公共配套设施</v>
      </c>
      <c r="R16" s="773" t="s">
        <v>17</v>
      </c>
      <c r="S16" s="774">
        <f>F16</f>
        <v>100</v>
      </c>
      <c r="T16" s="773" t="s">
        <v>17</v>
      </c>
      <c r="U16" s="774">
        <f>H16</f>
        <v>100</v>
      </c>
      <c r="V16" s="773" t="s">
        <v>17</v>
      </c>
      <c r="W16" s="774">
        <f>J16</f>
        <v>100</v>
      </c>
      <c r="X16" s="1816"/>
      <c r="Y16" s="3185"/>
      <c r="Z16" s="1817" t="str">
        <f>Q16</f>
        <v>公共配套设施</v>
      </c>
      <c r="AA16" s="1814">
        <f t="shared" si="3"/>
        <v>1</v>
      </c>
      <c r="AB16" s="1814">
        <f t="shared" si="4"/>
        <v>1</v>
      </c>
      <c r="AC16" s="1814">
        <f t="shared" si="5"/>
        <v>1</v>
      </c>
    </row>
    <row r="17" spans="1:29" ht="15">
      <c r="A17" s="429"/>
      <c r="B17" s="457"/>
      <c r="C17" s="2611"/>
      <c r="D17" s="449"/>
      <c r="E17" s="448"/>
      <c r="F17" s="450"/>
      <c r="G17" s="448"/>
      <c r="H17" s="449"/>
      <c r="I17" s="448"/>
      <c r="J17" s="449"/>
      <c r="K17" s="616"/>
      <c r="L17" s="1142"/>
      <c r="M17" s="1133"/>
      <c r="N17" s="1133"/>
      <c r="O17" s="1141"/>
      <c r="P17" s="3185"/>
      <c r="Q17" s="1813"/>
      <c r="R17" s="773"/>
      <c r="S17" s="774"/>
      <c r="T17" s="773"/>
      <c r="U17" s="774"/>
      <c r="V17" s="773"/>
      <c r="W17" s="774"/>
      <c r="X17" s="1816"/>
      <c r="Y17" s="3185"/>
      <c r="Z17" s="1817"/>
      <c r="AA17" s="1814">
        <v>1</v>
      </c>
      <c r="AB17" s="1814">
        <v>1</v>
      </c>
      <c r="AC17" s="1814">
        <v>1</v>
      </c>
    </row>
    <row r="18" spans="1:29" ht="42.75">
      <c r="A18" s="429"/>
      <c r="B18" s="1386" t="s">
        <v>2686</v>
      </c>
      <c r="C18" s="2610" t="str">
        <f>IF(B1="工业",估价对象房地状况!G6,估价对象房地状况!C8)</f>
        <v>估价对象所在区域基础设施水平七通</v>
      </c>
      <c r="D18" s="456">
        <v>100</v>
      </c>
      <c r="E18" s="453"/>
      <c r="F18" s="459">
        <f>SUMIF(65:65,E19,66:66)-SUMIF(65:65,C19,66:66)+100</f>
        <v>100</v>
      </c>
      <c r="G18" s="455"/>
      <c r="H18" s="456">
        <f>SUMIF(65:65,G19,66:66)-SUMIF(65:65,C19,66:66)+100</f>
        <v>100</v>
      </c>
      <c r="I18" s="458"/>
      <c r="J18" s="456">
        <f>SUMIF(65:65,I19,66:66)-SUMIF(65:65,C19,66:66)+100</f>
        <v>100</v>
      </c>
      <c r="K18" s="615"/>
      <c r="L18" s="1142"/>
      <c r="M18" s="1133"/>
      <c r="N18" s="1133"/>
      <c r="O18" s="1141"/>
      <c r="P18" s="3185"/>
      <c r="Q18" s="1813" t="str">
        <f>B18</f>
        <v>基础设施水平</v>
      </c>
      <c r="R18" s="773" t="s">
        <v>17</v>
      </c>
      <c r="S18" s="774">
        <f>F18</f>
        <v>100</v>
      </c>
      <c r="T18" s="773" t="s">
        <v>17</v>
      </c>
      <c r="U18" s="774">
        <f>H18</f>
        <v>100</v>
      </c>
      <c r="V18" s="773" t="s">
        <v>17</v>
      </c>
      <c r="W18" s="774">
        <f>J18</f>
        <v>100</v>
      </c>
      <c r="X18" s="1816"/>
      <c r="Y18" s="3185"/>
      <c r="Z18" s="1817" t="str">
        <f>Q18</f>
        <v>基础设施水平</v>
      </c>
      <c r="AA18" s="1814">
        <f>D18/F18</f>
        <v>1</v>
      </c>
      <c r="AB18" s="1814">
        <f>D18/H18</f>
        <v>1</v>
      </c>
      <c r="AC18" s="1814">
        <f>D18/J18</f>
        <v>1</v>
      </c>
    </row>
    <row r="19" spans="1:29" ht="15">
      <c r="A19" s="429"/>
      <c r="B19" s="1386"/>
      <c r="C19" s="2611"/>
      <c r="D19" s="451"/>
      <c r="E19" s="2611"/>
      <c r="F19" s="454"/>
      <c r="G19" s="2611"/>
      <c r="H19" s="449"/>
      <c r="I19" s="448"/>
      <c r="J19" s="449"/>
      <c r="K19" s="1385"/>
      <c r="L19" s="1142"/>
      <c r="M19" s="1133"/>
      <c r="N19" s="1133"/>
      <c r="O19" s="1141"/>
      <c r="P19" s="3185"/>
      <c r="Q19" s="1813"/>
      <c r="R19" s="773"/>
      <c r="S19" s="774"/>
      <c r="T19" s="773"/>
      <c r="U19" s="774"/>
      <c r="V19" s="773"/>
      <c r="W19" s="774"/>
      <c r="X19" s="1816"/>
      <c r="Y19" s="3185"/>
      <c r="Z19" s="1817"/>
      <c r="AA19" s="1814">
        <v>1</v>
      </c>
      <c r="AB19" s="1814">
        <v>1</v>
      </c>
      <c r="AC19" s="1814">
        <v>1</v>
      </c>
    </row>
    <row r="20" spans="1:29" ht="57">
      <c r="A20" s="429"/>
      <c r="B20" s="452" t="s">
        <v>2707</v>
      </c>
      <c r="C20" s="2610" t="str">
        <f>IF(B1="工业",估价对象房地状况!G7,估价对象房地状况!C9)</f>
        <v>区域自然环境较好；人文环境较好；综合评价环境状况较好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2"/>
      <c r="M20" s="1133"/>
      <c r="N20" s="1133"/>
      <c r="O20" s="1141"/>
      <c r="P20" s="3185"/>
      <c r="Q20" s="1813" t="str">
        <f>B20</f>
        <v>自然及人文环境</v>
      </c>
      <c r="R20" s="773" t="s">
        <v>17</v>
      </c>
      <c r="S20" s="774">
        <f>F20</f>
        <v>100</v>
      </c>
      <c r="T20" s="773" t="s">
        <v>17</v>
      </c>
      <c r="U20" s="774">
        <f>H20</f>
        <v>100</v>
      </c>
      <c r="V20" s="773" t="s">
        <v>17</v>
      </c>
      <c r="W20" s="774">
        <f>J20</f>
        <v>100</v>
      </c>
      <c r="X20" s="1816"/>
      <c r="Y20" s="3185"/>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2"/>
      <c r="M21" s="1133"/>
      <c r="N21" s="1133"/>
      <c r="O21" s="1141"/>
      <c r="P21" s="3185"/>
      <c r="Q21" s="1813"/>
      <c r="R21" s="773"/>
      <c r="S21" s="774"/>
      <c r="T21" s="773"/>
      <c r="U21" s="774"/>
      <c r="V21" s="773"/>
      <c r="W21" s="774"/>
      <c r="X21" s="1816"/>
      <c r="Y21" s="3185"/>
      <c r="Z21" s="1817"/>
      <c r="AA21" s="1814">
        <v>1</v>
      </c>
      <c r="AB21" s="1814">
        <v>1</v>
      </c>
      <c r="AC21" s="1814">
        <v>1</v>
      </c>
    </row>
    <row r="22" spans="1:29" ht="15">
      <c r="A22" s="429"/>
      <c r="B22" s="452" t="s">
        <v>2708</v>
      </c>
      <c r="C22" s="617"/>
      <c r="D22" s="451">
        <v>100</v>
      </c>
      <c r="E22" s="617"/>
      <c r="F22" s="462">
        <f>SUMIF(69:69,E22,70:70)-SUMIF(69:69,C22,70:70)+100</f>
        <v>100</v>
      </c>
      <c r="G22" s="617"/>
      <c r="H22" s="436">
        <f>SUMIF(69:69,G22,70:70)-SUMIF(69:69,C22,70:70)+100</f>
        <v>100</v>
      </c>
      <c r="I22" s="617"/>
      <c r="J22" s="436">
        <f>SUMIF(69:69,I22,70:70)-SUMIF(69:69,C22,70:70)+100</f>
        <v>100</v>
      </c>
      <c r="K22" s="613"/>
      <c r="L22" s="1142"/>
      <c r="M22" s="1133"/>
      <c r="N22" s="1133"/>
      <c r="O22" s="1141"/>
      <c r="P22" s="3185"/>
      <c r="Q22" s="1813" t="str">
        <f>B22</f>
        <v>楼层</v>
      </c>
      <c r="R22" s="773" t="s">
        <v>17</v>
      </c>
      <c r="S22" s="774">
        <f>F22</f>
        <v>100</v>
      </c>
      <c r="T22" s="773" t="s">
        <v>17</v>
      </c>
      <c r="U22" s="774">
        <f>H22</f>
        <v>100</v>
      </c>
      <c r="V22" s="773" t="s">
        <v>17</v>
      </c>
      <c r="W22" s="774">
        <f>J22</f>
        <v>100</v>
      </c>
      <c r="X22" s="1816"/>
      <c r="Y22" s="3185"/>
      <c r="Z22" s="1817" t="str">
        <f>Q22</f>
        <v>楼层</v>
      </c>
      <c r="AA22" s="1814">
        <f t="shared" si="3"/>
        <v>1</v>
      </c>
      <c r="AB22" s="1814">
        <f t="shared" si="4"/>
        <v>1</v>
      </c>
      <c r="AC22" s="1814">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2"/>
      <c r="M23" s="1133"/>
      <c r="N23" s="1133"/>
      <c r="O23" s="1141"/>
      <c r="P23" s="3185"/>
      <c r="Q23" s="1813">
        <f>B23</f>
        <v>111</v>
      </c>
      <c r="R23" s="773" t="s">
        <v>17</v>
      </c>
      <c r="S23" s="774">
        <f>F23</f>
        <v>100</v>
      </c>
      <c r="T23" s="773" t="s">
        <v>17</v>
      </c>
      <c r="U23" s="774">
        <f>H23</f>
        <v>100</v>
      </c>
      <c r="V23" s="773" t="s">
        <v>17</v>
      </c>
      <c r="W23" s="774">
        <f>J23</f>
        <v>100</v>
      </c>
      <c r="X23" s="1816"/>
      <c r="Y23" s="3185"/>
      <c r="Z23" s="1817">
        <f>Q23</f>
        <v>111</v>
      </c>
      <c r="AA23" s="1814">
        <f t="shared" si="3"/>
        <v>1</v>
      </c>
      <c r="AB23" s="1814">
        <f t="shared" si="4"/>
        <v>1</v>
      </c>
      <c r="AC23" s="1814">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2"/>
      <c r="M24" s="1133"/>
      <c r="N24" s="1133"/>
      <c r="O24" s="1141"/>
      <c r="P24" s="3185"/>
      <c r="Q24" s="1813">
        <f t="shared" ref="Q24:Q34" si="8">B24</f>
        <v>111</v>
      </c>
      <c r="R24" s="773" t="s">
        <v>17</v>
      </c>
      <c r="S24" s="774">
        <f>F24</f>
        <v>100</v>
      </c>
      <c r="T24" s="773" t="s">
        <v>17</v>
      </c>
      <c r="U24" s="774">
        <f>H24</f>
        <v>100</v>
      </c>
      <c r="V24" s="773" t="s">
        <v>17</v>
      </c>
      <c r="W24" s="774">
        <f>J24</f>
        <v>100</v>
      </c>
      <c r="X24" s="1816"/>
      <c r="Y24" s="3185"/>
      <c r="Z24" s="1817">
        <f>Q24</f>
        <v>111</v>
      </c>
      <c r="AA24" s="1814">
        <f t="shared" si="3"/>
        <v>1</v>
      </c>
      <c r="AB24" s="1814">
        <f t="shared" si="4"/>
        <v>1</v>
      </c>
      <c r="AC24" s="1814">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4"/>
      <c r="M25" s="1135"/>
      <c r="N25" s="1135"/>
      <c r="O25" s="1136"/>
      <c r="P25" s="3185"/>
      <c r="Q25" s="1798">
        <f t="shared" si="8"/>
        <v>111</v>
      </c>
      <c r="R25" s="769" t="s">
        <v>17</v>
      </c>
      <c r="S25" s="770">
        <f>F25</f>
        <v>100</v>
      </c>
      <c r="T25" s="769" t="s">
        <v>17</v>
      </c>
      <c r="U25" s="770">
        <f>H25</f>
        <v>100</v>
      </c>
      <c r="V25" s="769" t="s">
        <v>17</v>
      </c>
      <c r="W25" s="770">
        <f>J25</f>
        <v>100</v>
      </c>
      <c r="X25" s="771"/>
      <c r="Y25" s="3185"/>
      <c r="Z25" s="55">
        <f>Q25</f>
        <v>111</v>
      </c>
      <c r="AA25" s="1814">
        <f>D25/F25</f>
        <v>1</v>
      </c>
      <c r="AB25" s="1814">
        <f>D25/H25</f>
        <v>1</v>
      </c>
      <c r="AC25" s="1814">
        <f>D25/J25</f>
        <v>1</v>
      </c>
    </row>
    <row r="26" spans="1:29" ht="15">
      <c r="A26" s="467" t="s">
        <v>2561</v>
      </c>
      <c r="B26" s="71" t="s">
        <v>2711</v>
      </c>
      <c r="C26" s="2682"/>
      <c r="D26" s="468">
        <v>100</v>
      </c>
      <c r="E26" s="2682"/>
      <c r="F26" s="668">
        <f>SUMIF(77:77,E26,78:78)-SUMIF(77:77,C26,78:78)+100</f>
        <v>100</v>
      </c>
      <c r="G26" s="2682"/>
      <c r="H26" s="468">
        <f>SUMIF(77:77,G26,78:78)-SUMIF(77:77,C26,78:78)+100</f>
        <v>100</v>
      </c>
      <c r="I26" s="2682"/>
      <c r="J26" s="468">
        <f>SUMIF(77:77,I26,78:78)-SUMIF(77:77,C26,78:78)+100</f>
        <v>100</v>
      </c>
      <c r="K26" s="613"/>
      <c r="L26" s="1142"/>
      <c r="M26" s="1133"/>
      <c r="N26" s="1133"/>
      <c r="O26" s="1141"/>
      <c r="P26" s="3243" t="s">
        <v>2563</v>
      </c>
      <c r="Q26" s="1813" t="str">
        <f t="shared" si="8"/>
        <v>公共部分装修</v>
      </c>
      <c r="R26" s="773" t="s">
        <v>17</v>
      </c>
      <c r="S26" s="774">
        <f t="shared" ref="S26:S34" si="9">F26</f>
        <v>100</v>
      </c>
      <c r="T26" s="773" t="s">
        <v>17</v>
      </c>
      <c r="U26" s="774">
        <f t="shared" ref="U26:U34" si="10">H26</f>
        <v>100</v>
      </c>
      <c r="V26" s="773" t="s">
        <v>17</v>
      </c>
      <c r="W26" s="774">
        <f t="shared" ref="W26:W34" si="11">J26</f>
        <v>100</v>
      </c>
      <c r="X26" s="1816"/>
      <c r="Y26" s="3189" t="s">
        <v>2563</v>
      </c>
      <c r="Z26" s="1817" t="str">
        <f t="shared" ref="Z26:Z34" si="12">Q26</f>
        <v>公共部分装修</v>
      </c>
      <c r="AA26" s="1814">
        <f t="shared" si="3"/>
        <v>1</v>
      </c>
      <c r="AB26" s="1814">
        <f t="shared" si="4"/>
        <v>1</v>
      </c>
      <c r="AC26" s="1814">
        <f t="shared" si="5"/>
        <v>1</v>
      </c>
    </row>
    <row r="27" spans="1:29" s="472" customFormat="1" ht="15">
      <c r="A27" s="469"/>
      <c r="B27" s="423" t="s">
        <v>2712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0"/>
      <c r="M27" s="1143"/>
      <c r="N27" s="1143"/>
      <c r="O27" s="1144"/>
      <c r="P27" s="3189"/>
      <c r="Q27" s="775" t="str">
        <f t="shared" si="8"/>
        <v>成新率</v>
      </c>
      <c r="R27" s="776" t="s">
        <v>17</v>
      </c>
      <c r="S27" s="777" t="e">
        <f t="shared" si="9"/>
        <v>#N/A</v>
      </c>
      <c r="T27" s="776" t="s">
        <v>17</v>
      </c>
      <c r="U27" s="777" t="e">
        <f t="shared" si="10"/>
        <v>#N/A</v>
      </c>
      <c r="V27" s="776" t="s">
        <v>17</v>
      </c>
      <c r="W27" s="777" t="e">
        <f t="shared" si="11"/>
        <v>#N/A</v>
      </c>
      <c r="X27" s="778"/>
      <c r="Y27" s="3189"/>
      <c r="Z27" s="779" t="str">
        <f t="shared" si="12"/>
        <v>成新率</v>
      </c>
      <c r="AA27" s="1814" t="e">
        <f t="shared" si="3"/>
        <v>#N/A</v>
      </c>
      <c r="AB27" s="1814" t="e">
        <f t="shared" si="4"/>
        <v>#N/A</v>
      </c>
      <c r="AC27" s="1814" t="e">
        <f t="shared" si="5"/>
        <v>#N/A</v>
      </c>
    </row>
    <row r="28" spans="1:29" ht="15">
      <c r="A28" s="473"/>
      <c r="B28" s="423" t="s">
        <v>2713</v>
      </c>
      <c r="C28" s="461"/>
      <c r="D28" s="436">
        <v>100</v>
      </c>
      <c r="E28" s="461"/>
      <c r="F28" s="462">
        <f>SUMIF(82:82,E28,83:83)-SUMIF(82:82,C28,83:83)+100</f>
        <v>100</v>
      </c>
      <c r="G28" s="461"/>
      <c r="H28" s="436">
        <f>SUMIF(82:82,G28,83:83)-SUMIF(82:82,C28,83:83)+100</f>
        <v>100</v>
      </c>
      <c r="I28" s="461"/>
      <c r="J28" s="436">
        <f>SUMIF(82:82,I28,83:83)-SUMIF(82:82,C28,83:83)+100</f>
        <v>100</v>
      </c>
      <c r="K28" s="613"/>
      <c r="L28" s="1142"/>
      <c r="M28" s="1133"/>
      <c r="N28" s="1133"/>
      <c r="O28" s="1141"/>
      <c r="P28" s="3189"/>
      <c r="Q28" s="1813" t="str">
        <f t="shared" si="8"/>
        <v>物业等级</v>
      </c>
      <c r="R28" s="773" t="s">
        <v>17</v>
      </c>
      <c r="S28" s="774">
        <f t="shared" si="9"/>
        <v>100</v>
      </c>
      <c r="T28" s="773" t="s">
        <v>17</v>
      </c>
      <c r="U28" s="774">
        <f t="shared" si="10"/>
        <v>100</v>
      </c>
      <c r="V28" s="773" t="s">
        <v>17</v>
      </c>
      <c r="W28" s="774">
        <f t="shared" si="11"/>
        <v>100</v>
      </c>
      <c r="X28" s="1816"/>
      <c r="Y28" s="3189"/>
      <c r="Z28" s="1817" t="str">
        <f t="shared" si="12"/>
        <v>物业等级</v>
      </c>
      <c r="AA28" s="1814">
        <f t="shared" si="3"/>
        <v>1</v>
      </c>
      <c r="AB28" s="1814">
        <f t="shared" si="4"/>
        <v>1</v>
      </c>
      <c r="AC28" s="1814">
        <f t="shared" si="5"/>
        <v>1</v>
      </c>
    </row>
    <row r="29" spans="1:29" ht="15">
      <c r="A29" s="473"/>
      <c r="B29" s="423" t="s">
        <v>2734</v>
      </c>
      <c r="C29" s="658"/>
      <c r="D29" s="436">
        <v>100</v>
      </c>
      <c r="E29" s="658"/>
      <c r="F29" s="462">
        <f>SUMIF(84:84,E29,85:85)-SUMIF(84:84,C29,85:85)+100</f>
        <v>100</v>
      </c>
      <c r="G29" s="658"/>
      <c r="H29" s="436">
        <f>SUMIF(84:84,G29,85:85)-SUMIF(84:84,C29,85:85)+100</f>
        <v>100</v>
      </c>
      <c r="I29" s="658"/>
      <c r="J29" s="436">
        <f>SUMIF(84:84,I29,85:85)-SUMIF(84:84,C29,85:85)+100</f>
        <v>100</v>
      </c>
      <c r="K29" s="613"/>
      <c r="L29" s="1142"/>
      <c r="M29" s="1133"/>
      <c r="N29" s="1133"/>
      <c r="O29" s="1141"/>
      <c r="P29" s="3189"/>
      <c r="Q29" s="1813" t="str">
        <f t="shared" si="8"/>
        <v>有无电梯</v>
      </c>
      <c r="R29" s="773" t="s">
        <v>17</v>
      </c>
      <c r="S29" s="774">
        <f t="shared" si="9"/>
        <v>100</v>
      </c>
      <c r="T29" s="773" t="s">
        <v>17</v>
      </c>
      <c r="U29" s="774">
        <f t="shared" si="10"/>
        <v>100</v>
      </c>
      <c r="V29" s="773" t="s">
        <v>17</v>
      </c>
      <c r="W29" s="774">
        <f t="shared" si="11"/>
        <v>100</v>
      </c>
      <c r="X29" s="1816"/>
      <c r="Y29" s="3189"/>
      <c r="Z29" s="1817" t="str">
        <f t="shared" si="12"/>
        <v>有无电梯</v>
      </c>
      <c r="AA29" s="1814">
        <f t="shared" si="3"/>
        <v>1</v>
      </c>
      <c r="AB29" s="1814">
        <f t="shared" si="4"/>
        <v>1</v>
      </c>
      <c r="AC29" s="1814">
        <f t="shared" si="5"/>
        <v>1</v>
      </c>
    </row>
    <row r="30" spans="1:29" ht="15">
      <c r="A30" s="473"/>
      <c r="B30" s="423" t="s">
        <v>2735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2"/>
      <c r="M30" s="1133"/>
      <c r="N30" s="1133"/>
      <c r="O30" s="1141"/>
      <c r="P30" s="3189"/>
      <c r="Q30" s="1813" t="str">
        <f t="shared" si="8"/>
        <v>建筑面积</v>
      </c>
      <c r="R30" s="773" t="s">
        <v>17</v>
      </c>
      <c r="S30" s="774" t="e">
        <f t="shared" si="9"/>
        <v>#N/A</v>
      </c>
      <c r="T30" s="773" t="s">
        <v>17</v>
      </c>
      <c r="U30" s="774" t="e">
        <f t="shared" si="10"/>
        <v>#N/A</v>
      </c>
      <c r="V30" s="773" t="s">
        <v>17</v>
      </c>
      <c r="W30" s="774" t="e">
        <f t="shared" si="11"/>
        <v>#N/A</v>
      </c>
      <c r="X30" s="1816"/>
      <c r="Y30" s="3189"/>
      <c r="Z30" s="1817" t="str">
        <f t="shared" si="12"/>
        <v>建筑面积</v>
      </c>
      <c r="AA30" s="1814" t="e">
        <f t="shared" si="3"/>
        <v>#N/A</v>
      </c>
      <c r="AB30" s="1814" t="e">
        <f t="shared" si="4"/>
        <v>#N/A</v>
      </c>
      <c r="AC30" s="1814" t="e">
        <f t="shared" si="5"/>
        <v>#N/A</v>
      </c>
    </row>
    <row r="31" spans="1:29" s="117" customFormat="1" ht="15">
      <c r="A31" s="474"/>
      <c r="B31" s="423" t="s">
        <v>2736</v>
      </c>
      <c r="C31" s="658"/>
      <c r="D31" s="136">
        <v>100</v>
      </c>
      <c r="E31" s="658"/>
      <c r="F31" s="462">
        <f>SUMIF(89:89,E31,90:90)-SUMIF(89:89,C31,90:90)+100</f>
        <v>100</v>
      </c>
      <c r="G31" s="658"/>
      <c r="H31" s="436">
        <f>SUMIF(89:89,G31,90:90)-SUMIF(89:89,C31,90:90)+100</f>
        <v>100</v>
      </c>
      <c r="I31" s="658"/>
      <c r="J31" s="436">
        <f>SUMIF(89:89,I31,90:90)-SUMIF(89:89,C31,90:90)+100</f>
        <v>100</v>
      </c>
      <c r="K31" s="613"/>
      <c r="L31" s="1134"/>
      <c r="M31" s="1135"/>
      <c r="N31" s="1135"/>
      <c r="O31" s="1136"/>
      <c r="P31" s="3189"/>
      <c r="Q31" s="1798" t="str">
        <f t="shared" si="8"/>
        <v>是否封闭</v>
      </c>
      <c r="R31" s="769" t="s">
        <v>17</v>
      </c>
      <c r="S31" s="770">
        <f t="shared" si="9"/>
        <v>100</v>
      </c>
      <c r="T31" s="769" t="s">
        <v>17</v>
      </c>
      <c r="U31" s="770">
        <f t="shared" si="10"/>
        <v>100</v>
      </c>
      <c r="V31" s="769" t="s">
        <v>17</v>
      </c>
      <c r="W31" s="770">
        <f t="shared" si="11"/>
        <v>100</v>
      </c>
      <c r="X31" s="771"/>
      <c r="Y31" s="3189"/>
      <c r="Z31" s="55" t="str">
        <f t="shared" si="12"/>
        <v>是否封闭</v>
      </c>
      <c r="AA31" s="772">
        <f t="shared" si="3"/>
        <v>1</v>
      </c>
      <c r="AB31" s="772">
        <f t="shared" si="4"/>
        <v>1</v>
      </c>
      <c r="AC31" s="772">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2"/>
      <c r="M32" s="1133"/>
      <c r="N32" s="1133"/>
      <c r="O32" s="1141"/>
      <c r="P32" s="3189" t="s">
        <v>2563</v>
      </c>
      <c r="Q32" s="1813">
        <f t="shared" si="8"/>
        <v>111</v>
      </c>
      <c r="R32" s="773" t="s">
        <v>17</v>
      </c>
      <c r="S32" s="774">
        <f t="shared" si="9"/>
        <v>100</v>
      </c>
      <c r="T32" s="773" t="s">
        <v>17</v>
      </c>
      <c r="U32" s="774">
        <f t="shared" si="10"/>
        <v>100</v>
      </c>
      <c r="V32" s="773" t="s">
        <v>17</v>
      </c>
      <c r="W32" s="774">
        <f t="shared" si="11"/>
        <v>100</v>
      </c>
      <c r="X32" s="1816"/>
      <c r="Y32" s="3189" t="s">
        <v>2563</v>
      </c>
      <c r="Z32" s="1817">
        <f t="shared" si="12"/>
        <v>111</v>
      </c>
      <c r="AA32" s="1814">
        <f t="shared" si="3"/>
        <v>1</v>
      </c>
      <c r="AB32" s="1814">
        <f t="shared" si="4"/>
        <v>1</v>
      </c>
      <c r="AC32" s="1814">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2"/>
      <c r="M33" s="1133"/>
      <c r="N33" s="1133"/>
      <c r="O33" s="1141"/>
      <c r="P33" s="3189"/>
      <c r="Q33" s="1813">
        <f t="shared" si="8"/>
        <v>111</v>
      </c>
      <c r="R33" s="773" t="s">
        <v>17</v>
      </c>
      <c r="S33" s="774">
        <f t="shared" si="9"/>
        <v>100</v>
      </c>
      <c r="T33" s="773" t="s">
        <v>17</v>
      </c>
      <c r="U33" s="774">
        <f t="shared" si="10"/>
        <v>100</v>
      </c>
      <c r="V33" s="773" t="s">
        <v>17</v>
      </c>
      <c r="W33" s="774">
        <f t="shared" si="11"/>
        <v>100</v>
      </c>
      <c r="X33" s="1816"/>
      <c r="Y33" s="3189"/>
      <c r="Z33" s="1817">
        <f t="shared" si="12"/>
        <v>111</v>
      </c>
      <c r="AA33" s="1814">
        <f t="shared" si="3"/>
        <v>1</v>
      </c>
      <c r="AB33" s="1814">
        <f t="shared" si="4"/>
        <v>1</v>
      </c>
      <c r="AC33" s="1814">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2"/>
      <c r="M34" s="1133"/>
      <c r="N34" s="1133"/>
      <c r="O34" s="1141"/>
      <c r="P34" s="3189"/>
      <c r="Q34" s="1813">
        <f t="shared" si="8"/>
        <v>111</v>
      </c>
      <c r="R34" s="773" t="s">
        <v>17</v>
      </c>
      <c r="S34" s="774">
        <f t="shared" si="9"/>
        <v>100</v>
      </c>
      <c r="T34" s="773" t="s">
        <v>17</v>
      </c>
      <c r="U34" s="774">
        <f t="shared" si="10"/>
        <v>100</v>
      </c>
      <c r="V34" s="773" t="s">
        <v>17</v>
      </c>
      <c r="W34" s="774">
        <f t="shared" si="11"/>
        <v>100</v>
      </c>
      <c r="X34" s="1816"/>
      <c r="Y34" s="3189"/>
      <c r="Z34" s="1817">
        <f t="shared" si="12"/>
        <v>111</v>
      </c>
      <c r="AA34" s="1814">
        <f t="shared" si="3"/>
        <v>1</v>
      </c>
      <c r="AB34" s="1814">
        <f t="shared" si="4"/>
        <v>1</v>
      </c>
      <c r="AC34" s="1814">
        <f t="shared" si="5"/>
        <v>1</v>
      </c>
    </row>
    <row r="35" spans="1:29" ht="15">
      <c r="A35" s="480" t="s">
        <v>2575</v>
      </c>
      <c r="B35" s="481"/>
      <c r="C35" s="1409" t="s">
        <v>1</v>
      </c>
      <c r="D35" s="1410"/>
      <c r="E35" s="1411"/>
      <c r="F35" s="1412"/>
      <c r="G35" s="1413"/>
      <c r="H35" s="1414"/>
      <c r="I35" s="1411"/>
      <c r="J35" s="1414"/>
      <c r="K35" s="782"/>
      <c r="L35" s="1145"/>
      <c r="M35" s="1146"/>
      <c r="N35" s="1133"/>
      <c r="O35" s="1146"/>
      <c r="P35" s="3182" t="str">
        <f>A35</f>
        <v>成交单价（元/平方米）</v>
      </c>
      <c r="Q35" s="3182"/>
      <c r="R35" s="3183">
        <f>E35</f>
        <v>0</v>
      </c>
      <c r="S35" s="3183"/>
      <c r="T35" s="3183">
        <f>G35</f>
        <v>0</v>
      </c>
      <c r="U35" s="3183"/>
      <c r="V35" s="3183">
        <f>I35</f>
        <v>0</v>
      </c>
      <c r="W35" s="3183"/>
      <c r="X35" s="758"/>
      <c r="Y35" s="780"/>
      <c r="Z35" s="758"/>
      <c r="AA35" s="758"/>
      <c r="AB35" s="758"/>
      <c r="AC35" s="758"/>
    </row>
    <row r="36" spans="1:29" ht="15.75" thickBot="1">
      <c r="A36" s="487" t="s">
        <v>2666</v>
      </c>
      <c r="B36" s="488"/>
      <c r="C36" s="1415" t="e">
        <f>R37</f>
        <v>#DIV/0!</v>
      </c>
      <c r="D36" s="1416"/>
      <c r="E36" s="1417" t="e">
        <f>R36</f>
        <v>#DIV/0!</v>
      </c>
      <c r="F36" s="1417"/>
      <c r="G36" s="1415" t="e">
        <f>T36</f>
        <v>#DIV/0!</v>
      </c>
      <c r="H36" s="1416"/>
      <c r="I36" s="1417" t="e">
        <f>V36</f>
        <v>#DIV/0!</v>
      </c>
      <c r="J36" s="1416"/>
      <c r="K36" s="783"/>
      <c r="L36" s="1145"/>
      <c r="M36" s="1146"/>
      <c r="N36" s="1133"/>
      <c r="O36" s="1146"/>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8"/>
      <c r="Y36" s="758"/>
      <c r="Z36" s="758"/>
      <c r="AA36" s="758"/>
      <c r="AB36" s="758"/>
      <c r="AC36" s="758"/>
    </row>
    <row r="37" spans="1:29" ht="15.75" thickBot="1">
      <c r="A37" s="493" t="s">
        <v>2667</v>
      </c>
      <c r="B37" s="494"/>
      <c r="C37" s="1419" t="e">
        <f>R37</f>
        <v>#DIV/0!</v>
      </c>
      <c r="D37" s="1419"/>
      <c r="E37" s="1419"/>
      <c r="F37" s="1419"/>
      <c r="G37" s="1419"/>
      <c r="H37" s="1419"/>
      <c r="I37" s="1419"/>
      <c r="J37" s="1419"/>
      <c r="K37" s="784"/>
      <c r="L37" s="1145"/>
      <c r="M37" s="1146"/>
      <c r="N37" s="1146"/>
      <c r="O37" s="1146"/>
      <c r="P37" s="3179" t="str">
        <f>A37</f>
        <v>估价对象XX用房的比较价值（楼面单价，元/平方米）</v>
      </c>
      <c r="Q37" s="3180"/>
      <c r="R37" s="3181" t="e">
        <f>IF(F1="售价",ROUND(AVERAGE(R36:V36),0),ROUND(AVERAGE(R36:V36),1))</f>
        <v>#DIV/0!</v>
      </c>
      <c r="S37" s="3181"/>
      <c r="T37" s="3181"/>
      <c r="U37" s="3181"/>
      <c r="V37" s="3181"/>
      <c r="W37" s="318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8" t="s">
        <v>2668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7"/>
      <c r="L40" s="1108"/>
      <c r="M40" s="1146"/>
      <c r="N40" s="1146"/>
      <c r="O40" s="1146"/>
    </row>
    <row r="41" spans="1:29" ht="13.5" customHeight="1">
      <c r="A41" s="1146"/>
      <c r="B41" s="1146"/>
      <c r="C41" s="498" t="s">
        <v>2669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7"/>
      <c r="L41" s="1108"/>
      <c r="M41" s="1146"/>
      <c r="N41" s="1146"/>
      <c r="O41" s="1146"/>
    </row>
    <row r="42" spans="1:29" s="503" customFormat="1" ht="13.5" customHeight="1">
      <c r="A42" s="1147"/>
      <c r="B42" s="1147"/>
      <c r="C42" s="498" t="s">
        <v>2670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0"/>
      <c r="L42" s="1151"/>
      <c r="M42" s="1147"/>
      <c r="N42" s="1147"/>
      <c r="O42" s="1147"/>
    </row>
    <row r="43" spans="1:29" s="503"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4"/>
      <c r="Q45" s="505"/>
    </row>
    <row r="46" spans="1:29" s="509" customFormat="1" ht="15">
      <c r="A46" s="506" t="s">
        <v>2546</v>
      </c>
      <c r="B46" s="507"/>
      <c r="C46" s="1577" t="str">
        <f>YEAR(C7)&amp;"-"&amp;MONTH(C7)</f>
        <v>2017-11</v>
      </c>
      <c r="D46" s="1578">
        <f>EDATE(C46,-1)</f>
        <v>43009</v>
      </c>
      <c r="E46" s="1578">
        <f t="shared" ref="E46:O46" si="13">EDATE(D46,-1)</f>
        <v>42979</v>
      </c>
      <c r="F46" s="1578">
        <f t="shared" si="13"/>
        <v>42948</v>
      </c>
      <c r="G46" s="1578">
        <f t="shared" si="13"/>
        <v>42917</v>
      </c>
      <c r="H46" s="1578">
        <f t="shared" si="13"/>
        <v>42887</v>
      </c>
      <c r="I46" s="1578">
        <f t="shared" si="13"/>
        <v>42856</v>
      </c>
      <c r="J46" s="1578">
        <f t="shared" si="13"/>
        <v>42826</v>
      </c>
      <c r="K46" s="1578">
        <f t="shared" si="13"/>
        <v>42795</v>
      </c>
      <c r="L46" s="1578">
        <f t="shared" si="13"/>
        <v>42767</v>
      </c>
      <c r="M46" s="1578">
        <f t="shared" si="13"/>
        <v>42736</v>
      </c>
      <c r="N46" s="1578">
        <f t="shared" si="13"/>
        <v>42705</v>
      </c>
      <c r="O46" s="1578">
        <f t="shared" si="13"/>
        <v>42675</v>
      </c>
      <c r="P46" s="508"/>
    </row>
    <row r="47" spans="1:29" s="117" customFormat="1" ht="15">
      <c r="A47" s="510"/>
      <c r="B47" s="511"/>
      <c r="C47" s="1576">
        <v>100</v>
      </c>
      <c r="D47" s="513"/>
      <c r="E47" s="513"/>
      <c r="F47" s="513"/>
      <c r="G47" s="513"/>
      <c r="H47" s="513"/>
      <c r="I47" s="513"/>
      <c r="J47" s="513"/>
      <c r="K47" s="513"/>
      <c r="L47" s="513"/>
      <c r="M47" s="514"/>
      <c r="N47" s="513"/>
      <c r="O47" s="515"/>
      <c r="P47" s="505"/>
    </row>
    <row r="48" spans="1:29" s="117" customFormat="1" ht="15.75" thickBot="1">
      <c r="A48" s="516" t="s">
        <v>2582</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2649</v>
      </c>
      <c r="D49" s="524"/>
      <c r="E49" s="524"/>
      <c r="F49" s="524"/>
      <c r="G49" s="524"/>
      <c r="H49" s="524"/>
      <c r="I49" s="524"/>
      <c r="J49" s="524"/>
      <c r="K49" s="524"/>
      <c r="L49" s="525"/>
      <c r="M49" s="526"/>
      <c r="N49" s="1153"/>
      <c r="O49" s="1153"/>
      <c r="P49" s="527"/>
      <c r="Q49" s="505"/>
    </row>
    <row r="50" spans="1:17" s="117" customFormat="1" ht="15.75" thickBot="1">
      <c r="A50" s="522"/>
      <c r="B50" s="511"/>
      <c r="C50" s="640">
        <v>100</v>
      </c>
      <c r="D50" s="513"/>
      <c r="E50" s="513"/>
      <c r="F50" s="513"/>
      <c r="G50" s="513"/>
      <c r="H50" s="513"/>
      <c r="I50" s="513"/>
      <c r="J50" s="513"/>
      <c r="K50" s="513"/>
      <c r="L50" s="513"/>
      <c r="M50" s="515"/>
      <c r="N50" s="1153"/>
      <c r="O50" s="1153"/>
      <c r="P50" s="505"/>
      <c r="Q50" s="505"/>
    </row>
    <row r="51" spans="1:17">
      <c r="A51" s="528" t="s">
        <v>2585</v>
      </c>
      <c r="B51" s="529" t="s">
        <v>2552</v>
      </c>
      <c r="C51" s="530">
        <f>C9</f>
        <v>0</v>
      </c>
      <c r="D51" s="531"/>
      <c r="E51" s="531"/>
      <c r="F51" s="531"/>
      <c r="G51" s="531"/>
      <c r="H51" s="531"/>
      <c r="I51" s="531"/>
      <c r="J51" s="531"/>
      <c r="K51" s="532"/>
      <c r="L51" s="533"/>
      <c r="M51" s="534"/>
      <c r="N51" s="1154"/>
      <c r="O51" s="1154"/>
      <c r="P51" s="45"/>
      <c r="Q51" s="505"/>
    </row>
    <row r="52" spans="1:17" ht="15.75" thickBot="1">
      <c r="A52" s="535"/>
      <c r="B52" s="536"/>
      <c r="C52" s="537">
        <v>100</v>
      </c>
      <c r="D52" s="537"/>
      <c r="E52" s="537"/>
      <c r="F52" s="537"/>
      <c r="G52" s="537"/>
      <c r="H52" s="537"/>
      <c r="I52" s="537"/>
      <c r="J52" s="537"/>
      <c r="K52" s="537"/>
      <c r="L52" s="537"/>
      <c r="M52" s="538"/>
      <c r="N52" s="1155"/>
      <c r="O52" s="1155"/>
      <c r="P52" s="45"/>
      <c r="Q52" s="505"/>
    </row>
    <row r="53" spans="1:17" ht="27.75" thickTop="1">
      <c r="A53" s="535"/>
      <c r="B53" s="539" t="s">
        <v>2555</v>
      </c>
      <c r="C53" s="540" t="s">
        <v>2586</v>
      </c>
      <c r="D53" s="540" t="s">
        <v>2587</v>
      </c>
      <c r="E53" s="540" t="s">
        <v>2588</v>
      </c>
      <c r="F53" s="540" t="s">
        <v>2589</v>
      </c>
      <c r="G53" s="540" t="s">
        <v>2590</v>
      </c>
      <c r="H53" s="540" t="s">
        <v>2591</v>
      </c>
      <c r="I53" s="540" t="s">
        <v>2592</v>
      </c>
      <c r="J53" s="540"/>
      <c r="K53" s="541"/>
      <c r="L53" s="542"/>
      <c r="M53" s="543"/>
      <c r="N53" s="1154"/>
      <c r="O53" s="1154"/>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5"/>
      <c r="O54" s="1155"/>
      <c r="P54" s="45"/>
      <c r="Q54" s="505"/>
    </row>
    <row r="55" spans="1:17" ht="15.75" thickTop="1">
      <c r="A55" s="535"/>
      <c r="B55" s="661">
        <f>B11</f>
        <v>111</v>
      </c>
      <c r="C55" s="550"/>
      <c r="D55" s="550"/>
      <c r="E55" s="550"/>
      <c r="F55" s="550"/>
      <c r="G55" s="550"/>
      <c r="H55" s="550"/>
      <c r="I55" s="550"/>
      <c r="J55" s="550"/>
      <c r="K55" s="551"/>
      <c r="L55" s="552"/>
      <c r="M55" s="553"/>
      <c r="N55" s="1154"/>
      <c r="O55" s="1154"/>
      <c r="P55" s="45"/>
      <c r="Q55" s="505"/>
    </row>
    <row r="56" spans="1:17" ht="15.75" thickBot="1">
      <c r="A56" s="535"/>
      <c r="B56" s="536"/>
      <c r="C56" s="561"/>
      <c r="D56" s="537"/>
      <c r="E56" s="537"/>
      <c r="F56" s="537"/>
      <c r="G56" s="537"/>
      <c r="H56" s="537"/>
      <c r="I56" s="537"/>
      <c r="J56" s="537"/>
      <c r="K56" s="537"/>
      <c r="L56" s="537"/>
      <c r="M56" s="538"/>
      <c r="N56" s="1155"/>
      <c r="O56" s="1155"/>
      <c r="P56" s="45"/>
      <c r="Q56" s="505"/>
    </row>
    <row r="57" spans="1:17" s="472" customFormat="1" ht="15.75" thickTop="1">
      <c r="A57" s="554"/>
      <c r="B57" s="539">
        <f>B12</f>
        <v>111</v>
      </c>
      <c r="C57" s="550"/>
      <c r="D57" s="550"/>
      <c r="E57" s="550"/>
      <c r="F57" s="550"/>
      <c r="G57" s="555"/>
      <c r="H57" s="556"/>
      <c r="I57" s="556"/>
      <c r="J57" s="556"/>
      <c r="K57" s="556"/>
      <c r="L57" s="557"/>
      <c r="M57" s="558"/>
      <c r="N57" s="1156"/>
      <c r="O57" s="1156"/>
      <c r="P57" s="559"/>
      <c r="Q57" s="560"/>
    </row>
    <row r="58" spans="1:17" s="472" customFormat="1" ht="15.75" thickBot="1">
      <c r="A58" s="554"/>
      <c r="B58" s="544"/>
      <c r="C58" s="561"/>
      <c r="D58" s="537"/>
      <c r="E58" s="537"/>
      <c r="F58" s="537"/>
      <c r="G58" s="537"/>
      <c r="H58" s="537"/>
      <c r="I58" s="537"/>
      <c r="J58" s="537"/>
      <c r="K58" s="537"/>
      <c r="L58" s="537"/>
      <c r="M58" s="538"/>
      <c r="N58" s="1155"/>
      <c r="O58" s="1155"/>
      <c r="P58" s="559"/>
      <c r="Q58" s="560"/>
    </row>
    <row r="59" spans="1:17" s="472" customFormat="1" ht="15.75" thickTop="1">
      <c r="A59" s="554"/>
      <c r="B59" s="539">
        <f>B13</f>
        <v>111</v>
      </c>
      <c r="C59" s="550"/>
      <c r="D59" s="550"/>
      <c r="E59" s="550"/>
      <c r="F59" s="550"/>
      <c r="G59" s="555"/>
      <c r="H59" s="556"/>
      <c r="I59" s="556"/>
      <c r="J59" s="556"/>
      <c r="K59" s="556"/>
      <c r="L59" s="557"/>
      <c r="M59" s="558"/>
      <c r="N59" s="1156"/>
      <c r="O59" s="1156"/>
      <c r="P59" s="471"/>
      <c r="Q59" s="562"/>
    </row>
    <row r="60" spans="1:17" s="472" customFormat="1" ht="15.75" thickBot="1">
      <c r="A60" s="554"/>
      <c r="B60" s="544"/>
      <c r="C60" s="561"/>
      <c r="D60" s="561"/>
      <c r="E60" s="561"/>
      <c r="F60" s="561"/>
      <c r="G60" s="561"/>
      <c r="H60" s="563"/>
      <c r="I60" s="563"/>
      <c r="J60" s="563"/>
      <c r="K60" s="563"/>
      <c r="L60" s="563"/>
      <c r="M60" s="564"/>
      <c r="N60" s="1156"/>
      <c r="O60" s="1156"/>
      <c r="P60" s="559"/>
      <c r="Q60" s="560"/>
    </row>
    <row r="61" spans="1:17" ht="15" thickTop="1">
      <c r="A61" s="528" t="s">
        <v>2557</v>
      </c>
      <c r="B61" s="529" t="s">
        <v>2599</v>
      </c>
      <c r="C61" s="574" t="s">
        <v>2594</v>
      </c>
      <c r="D61" s="574" t="s">
        <v>2595</v>
      </c>
      <c r="E61" s="574" t="s">
        <v>2596</v>
      </c>
      <c r="F61" s="574" t="s">
        <v>2597</v>
      </c>
      <c r="G61" s="574" t="s">
        <v>2598</v>
      </c>
      <c r="H61" s="530"/>
      <c r="I61" s="530"/>
      <c r="J61" s="530"/>
      <c r="K61" s="575"/>
      <c r="L61" s="576"/>
      <c r="M61" s="577"/>
      <c r="N61" s="1154"/>
      <c r="O61" s="1154"/>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5"/>
      <c r="O62" s="1155"/>
      <c r="P62" s="45"/>
      <c r="Q62" s="505"/>
    </row>
    <row r="63" spans="1:17" ht="27.75" thickTop="1">
      <c r="A63" s="535"/>
      <c r="B63" s="539" t="s">
        <v>2737</v>
      </c>
      <c r="C63" s="579" t="s">
        <v>2594</v>
      </c>
      <c r="D63" s="579" t="s">
        <v>2595</v>
      </c>
      <c r="E63" s="579" t="s">
        <v>2596</v>
      </c>
      <c r="F63" s="579" t="s">
        <v>2597</v>
      </c>
      <c r="G63" s="579" t="s">
        <v>2598</v>
      </c>
      <c r="H63" s="540"/>
      <c r="I63" s="540"/>
      <c r="J63" s="540"/>
      <c r="K63" s="541"/>
      <c r="L63" s="542"/>
      <c r="M63" s="543"/>
      <c r="N63" s="1154"/>
      <c r="O63" s="1154"/>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5"/>
      <c r="O64" s="1155"/>
      <c r="P64" s="45"/>
      <c r="Q64" s="505"/>
    </row>
    <row r="65" spans="1:17" ht="15.75" thickTop="1">
      <c r="A65" s="535"/>
      <c r="B65" s="547" t="s">
        <v>2686</v>
      </c>
      <c r="C65" s="661" t="s">
        <v>2672</v>
      </c>
      <c r="D65" s="661" t="s">
        <v>2673</v>
      </c>
      <c r="E65" s="661" t="s">
        <v>2674</v>
      </c>
      <c r="F65" s="661" t="s">
        <v>2675</v>
      </c>
      <c r="G65" s="661" t="s">
        <v>2676</v>
      </c>
      <c r="H65" s="540"/>
      <c r="I65" s="540"/>
      <c r="J65" s="540"/>
      <c r="K65" s="540"/>
      <c r="L65" s="540"/>
      <c r="M65" s="1384"/>
      <c r="N65" s="1155"/>
      <c r="O65" s="1155"/>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5"/>
      <c r="O66" s="1155"/>
      <c r="P66" s="45"/>
      <c r="Q66" s="505"/>
    </row>
    <row r="67" spans="1:17" ht="15.75" thickTop="1">
      <c r="A67" s="535"/>
      <c r="B67" s="539" t="s">
        <v>2606</v>
      </c>
      <c r="C67" s="579" t="s">
        <v>2594</v>
      </c>
      <c r="D67" s="579" t="s">
        <v>2595</v>
      </c>
      <c r="E67" s="579" t="s">
        <v>2596</v>
      </c>
      <c r="F67" s="579" t="s">
        <v>2597</v>
      </c>
      <c r="G67" s="579" t="s">
        <v>2598</v>
      </c>
      <c r="H67" s="540"/>
      <c r="I67" s="540"/>
      <c r="J67" s="540"/>
      <c r="K67" s="541"/>
      <c r="L67" s="542"/>
      <c r="M67" s="543"/>
      <c r="N67" s="1154"/>
      <c r="O67" s="1154"/>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5"/>
      <c r="O68" s="1155"/>
      <c r="P68" s="45"/>
      <c r="Q68" s="505"/>
    </row>
    <row r="69" spans="1:17" ht="15.75" thickTop="1">
      <c r="A69" s="535"/>
      <c r="B69" s="539" t="s">
        <v>2726</v>
      </c>
      <c r="C69" s="555"/>
      <c r="D69" s="555"/>
      <c r="E69" s="555"/>
      <c r="F69" s="555"/>
      <c r="G69" s="555"/>
      <c r="H69" s="584"/>
      <c r="I69" s="584"/>
      <c r="J69" s="584"/>
      <c r="K69" s="585"/>
      <c r="L69" s="586"/>
      <c r="M69" s="587"/>
      <c r="N69" s="1154"/>
      <c r="O69" s="1154"/>
      <c r="P69" s="45"/>
      <c r="Q69" s="505"/>
    </row>
    <row r="70" spans="1:17" ht="15.75" thickBot="1">
      <c r="A70" s="535"/>
      <c r="B70" s="544"/>
      <c r="C70" s="545">
        <v>100</v>
      </c>
      <c r="D70" s="545">
        <f>C70-$K22</f>
        <v>100</v>
      </c>
      <c r="E70" s="545"/>
      <c r="F70" s="545"/>
      <c r="G70" s="545"/>
      <c r="H70" s="545"/>
      <c r="I70" s="545"/>
      <c r="J70" s="545"/>
      <c r="K70" s="545"/>
      <c r="L70" s="545"/>
      <c r="M70" s="546"/>
      <c r="N70" s="1155"/>
      <c r="O70" s="1155"/>
      <c r="P70" s="45"/>
      <c r="Q70" s="505"/>
    </row>
    <row r="71" spans="1:17" s="117" customFormat="1" ht="15.75" thickTop="1">
      <c r="A71" s="580"/>
      <c r="B71" s="539">
        <f>B23</f>
        <v>111</v>
      </c>
      <c r="C71" s="550"/>
      <c r="D71" s="550"/>
      <c r="E71" s="550"/>
      <c r="F71" s="550"/>
      <c r="G71" s="555"/>
      <c r="H71" s="555"/>
      <c r="I71" s="555"/>
      <c r="J71" s="555"/>
      <c r="K71" s="555"/>
      <c r="L71" s="581"/>
      <c r="M71" s="582"/>
      <c r="N71" s="1153"/>
      <c r="O71" s="1153"/>
      <c r="P71" s="45"/>
      <c r="Q71" s="505"/>
    </row>
    <row r="72" spans="1:17" s="117" customFormat="1" ht="15.75" thickBot="1">
      <c r="A72" s="580"/>
      <c r="B72" s="544"/>
      <c r="C72" s="561"/>
      <c r="D72" s="537"/>
      <c r="E72" s="537"/>
      <c r="F72" s="537"/>
      <c r="G72" s="537"/>
      <c r="H72" s="537"/>
      <c r="I72" s="537"/>
      <c r="J72" s="537"/>
      <c r="K72" s="537"/>
      <c r="L72" s="537"/>
      <c r="M72" s="538"/>
      <c r="N72" s="1155"/>
      <c r="O72" s="1155"/>
      <c r="P72" s="45"/>
      <c r="Q72" s="505"/>
    </row>
    <row r="73" spans="1:17" s="117" customFormat="1" ht="15.75" thickTop="1">
      <c r="A73" s="580"/>
      <c r="B73" s="539">
        <f>B24</f>
        <v>111</v>
      </c>
      <c r="C73" s="550"/>
      <c r="D73" s="550"/>
      <c r="E73" s="550"/>
      <c r="F73" s="550"/>
      <c r="G73" s="555"/>
      <c r="H73" s="555"/>
      <c r="I73" s="555"/>
      <c r="J73" s="555"/>
      <c r="K73" s="555"/>
      <c r="L73" s="555"/>
      <c r="M73" s="582"/>
      <c r="N73" s="1153"/>
      <c r="O73" s="1153"/>
      <c r="P73" s="45"/>
      <c r="Q73" s="505"/>
    </row>
    <row r="74" spans="1:17" s="117" customFormat="1" ht="15.75" thickBot="1">
      <c r="A74" s="580"/>
      <c r="B74" s="544"/>
      <c r="C74" s="561"/>
      <c r="D74" s="537"/>
      <c r="E74" s="537"/>
      <c r="F74" s="537"/>
      <c r="G74" s="537"/>
      <c r="H74" s="537"/>
      <c r="I74" s="537"/>
      <c r="J74" s="537"/>
      <c r="K74" s="537"/>
      <c r="L74" s="537"/>
      <c r="M74" s="538"/>
      <c r="N74" s="1155"/>
      <c r="O74" s="1155"/>
      <c r="P74" s="45"/>
      <c r="Q74" s="505"/>
    </row>
    <row r="75" spans="1:17" s="472" customFormat="1" ht="15.75" thickTop="1">
      <c r="A75" s="554"/>
      <c r="B75" s="539">
        <f>B25</f>
        <v>111</v>
      </c>
      <c r="C75" s="550"/>
      <c r="D75" s="550"/>
      <c r="E75" s="550"/>
      <c r="F75" s="550"/>
      <c r="G75" s="555"/>
      <c r="H75" s="556"/>
      <c r="I75" s="556"/>
      <c r="J75" s="556"/>
      <c r="K75" s="556"/>
      <c r="L75" s="557"/>
      <c r="M75" s="558"/>
      <c r="N75" s="1156"/>
      <c r="O75" s="1156"/>
      <c r="P75" s="559"/>
      <c r="Q75" s="560"/>
    </row>
    <row r="76" spans="1:17" s="472" customFormat="1" ht="15.75" thickBot="1">
      <c r="A76" s="554"/>
      <c r="B76" s="544"/>
      <c r="C76" s="561"/>
      <c r="D76" s="561"/>
      <c r="E76" s="561"/>
      <c r="F76" s="561"/>
      <c r="G76" s="537"/>
      <c r="H76" s="537"/>
      <c r="I76" s="537"/>
      <c r="J76" s="537"/>
      <c r="K76" s="537"/>
      <c r="L76" s="537"/>
      <c r="M76" s="538"/>
      <c r="N76" s="1156"/>
      <c r="O76" s="1156"/>
      <c r="P76" s="559"/>
      <c r="Q76" s="560"/>
    </row>
    <row r="77" spans="1:17" ht="15" thickTop="1">
      <c r="A77" s="528" t="s">
        <v>2561</v>
      </c>
      <c r="B77" s="529" t="s">
        <v>2613</v>
      </c>
      <c r="C77" s="555"/>
      <c r="D77" s="555"/>
      <c r="E77" s="531"/>
      <c r="F77" s="531"/>
      <c r="G77" s="531"/>
      <c r="H77" s="531"/>
      <c r="I77" s="531"/>
      <c r="J77" s="531"/>
      <c r="K77" s="532"/>
      <c r="L77" s="533"/>
      <c r="M77" s="534"/>
      <c r="N77" s="1154"/>
      <c r="O77" s="1154"/>
      <c r="P77" s="45"/>
      <c r="Q77" s="505"/>
    </row>
    <row r="78" spans="1:17" ht="15.75" thickBot="1">
      <c r="A78" s="535"/>
      <c r="B78" s="544"/>
      <c r="C78" s="545">
        <v>100</v>
      </c>
      <c r="D78" s="545">
        <f t="shared" ref="D78:M78" si="14">C78-$K26</f>
        <v>100</v>
      </c>
      <c r="E78" s="545">
        <f t="shared" si="14"/>
        <v>100</v>
      </c>
      <c r="F78" s="545">
        <f t="shared" si="14"/>
        <v>100</v>
      </c>
      <c r="G78" s="545">
        <f t="shared" si="14"/>
        <v>100</v>
      </c>
      <c r="H78" s="545">
        <f t="shared" si="14"/>
        <v>100</v>
      </c>
      <c r="I78" s="545">
        <f t="shared" si="14"/>
        <v>100</v>
      </c>
      <c r="J78" s="545">
        <f t="shared" si="14"/>
        <v>100</v>
      </c>
      <c r="K78" s="545">
        <f t="shared" si="14"/>
        <v>100</v>
      </c>
      <c r="L78" s="545">
        <f t="shared" si="14"/>
        <v>100</v>
      </c>
      <c r="M78" s="546">
        <f t="shared" si="14"/>
        <v>100</v>
      </c>
      <c r="N78" s="1155"/>
      <c r="O78" s="1155"/>
      <c r="P78" s="45"/>
      <c r="Q78" s="505"/>
    </row>
    <row r="79" spans="1:17" ht="15.75" thickTop="1">
      <c r="A79" s="535"/>
      <c r="B79" s="539" t="s">
        <v>2729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3"/>
      <c r="O79" s="1153"/>
      <c r="P79" s="45"/>
      <c r="Q79" s="505"/>
    </row>
    <row r="80" spans="1:17" ht="15">
      <c r="A80" s="535"/>
      <c r="B80" s="547"/>
      <c r="C80" s="604">
        <v>0.5</v>
      </c>
      <c r="D80" s="604">
        <v>0.6</v>
      </c>
      <c r="E80" s="604">
        <v>0.7</v>
      </c>
      <c r="F80" s="604">
        <v>0.8</v>
      </c>
      <c r="G80" s="604">
        <v>0.9</v>
      </c>
      <c r="H80" s="604">
        <v>1.0001</v>
      </c>
      <c r="I80" s="661"/>
      <c r="J80" s="661"/>
      <c r="K80" s="669"/>
      <c r="L80" s="670"/>
      <c r="M80" s="671"/>
      <c r="N80" s="1153"/>
      <c r="O80" s="1153"/>
      <c r="P80" s="45"/>
      <c r="Q80" s="505"/>
    </row>
    <row r="81" spans="1:17" s="472" customFormat="1" ht="15.75" thickBot="1">
      <c r="A81" s="554"/>
      <c r="B81" s="544"/>
      <c r="C81" s="583">
        <v>100</v>
      </c>
      <c r="D81" s="545">
        <f t="shared" ref="D81:M81" si="15">C81+$K27</f>
        <v>100</v>
      </c>
      <c r="E81" s="545">
        <f t="shared" si="15"/>
        <v>100</v>
      </c>
      <c r="F81" s="545">
        <f t="shared" si="15"/>
        <v>100</v>
      </c>
      <c r="G81" s="545">
        <f t="shared" si="15"/>
        <v>100</v>
      </c>
      <c r="H81" s="545">
        <f t="shared" si="15"/>
        <v>100</v>
      </c>
      <c r="I81" s="545">
        <f t="shared" si="15"/>
        <v>100</v>
      </c>
      <c r="J81" s="545">
        <f t="shared" si="15"/>
        <v>100</v>
      </c>
      <c r="K81" s="545">
        <f t="shared" si="15"/>
        <v>100</v>
      </c>
      <c r="L81" s="545">
        <f t="shared" si="15"/>
        <v>100</v>
      </c>
      <c r="M81" s="545">
        <f t="shared" si="15"/>
        <v>100</v>
      </c>
      <c r="N81" s="1155"/>
      <c r="O81" s="1155"/>
      <c r="P81" s="559"/>
      <c r="Q81" s="560"/>
    </row>
    <row r="82" spans="1:17" ht="15" thickTop="1">
      <c r="A82" s="600"/>
      <c r="B82" s="547" t="s">
        <v>2730</v>
      </c>
      <c r="C82" s="555"/>
      <c r="D82" s="555"/>
      <c r="E82" s="584"/>
      <c r="F82" s="584"/>
      <c r="G82" s="584"/>
      <c r="H82" s="584"/>
      <c r="I82" s="584"/>
      <c r="J82" s="584"/>
      <c r="K82" s="585"/>
      <c r="L82" s="586"/>
      <c r="M82" s="587"/>
      <c r="N82" s="1154"/>
      <c r="O82" s="1154"/>
      <c r="P82" s="45"/>
      <c r="Q82" s="505"/>
    </row>
    <row r="83" spans="1:17" ht="15.75" thickBot="1">
      <c r="A83" s="535"/>
      <c r="B83" s="544"/>
      <c r="C83" s="545">
        <v>100</v>
      </c>
      <c r="D83" s="545">
        <f t="shared" ref="D83:M83" si="16">C83-$K28</f>
        <v>100</v>
      </c>
      <c r="E83" s="545">
        <f t="shared" si="16"/>
        <v>100</v>
      </c>
      <c r="F83" s="545">
        <f t="shared" si="16"/>
        <v>100</v>
      </c>
      <c r="G83" s="545">
        <f t="shared" si="16"/>
        <v>100</v>
      </c>
      <c r="H83" s="545">
        <f t="shared" si="16"/>
        <v>100</v>
      </c>
      <c r="I83" s="545">
        <f t="shared" si="16"/>
        <v>100</v>
      </c>
      <c r="J83" s="545">
        <f t="shared" si="16"/>
        <v>100</v>
      </c>
      <c r="K83" s="545">
        <f t="shared" si="16"/>
        <v>100</v>
      </c>
      <c r="L83" s="545">
        <f t="shared" si="16"/>
        <v>100</v>
      </c>
      <c r="M83" s="546">
        <f t="shared" si="16"/>
        <v>100</v>
      </c>
      <c r="N83" s="1155"/>
      <c r="O83" s="1155"/>
      <c r="P83" s="45"/>
      <c r="Q83" s="505"/>
    </row>
    <row r="84" spans="1:17" ht="15" thickTop="1">
      <c r="A84" s="600"/>
      <c r="B84" s="539" t="s">
        <v>2738</v>
      </c>
      <c r="C84" s="555"/>
      <c r="D84" s="555"/>
      <c r="E84" s="555"/>
      <c r="F84" s="555"/>
      <c r="G84" s="555"/>
      <c r="H84" s="555"/>
      <c r="I84" s="584"/>
      <c r="J84" s="584"/>
      <c r="K84" s="585"/>
      <c r="L84" s="586"/>
      <c r="M84" s="587"/>
      <c r="N84" s="1154"/>
      <c r="O84" s="1154"/>
      <c r="P84" s="45"/>
      <c r="Q84" s="505"/>
    </row>
    <row r="85" spans="1:17" ht="15.75" thickBot="1">
      <c r="A85" s="535"/>
      <c r="B85" s="544"/>
      <c r="C85" s="583">
        <v>100</v>
      </c>
      <c r="D85" s="545">
        <f t="shared" ref="D85:M85" si="17">C85+$K29</f>
        <v>100</v>
      </c>
      <c r="E85" s="545">
        <f t="shared" si="17"/>
        <v>100</v>
      </c>
      <c r="F85" s="545">
        <f t="shared" si="17"/>
        <v>100</v>
      </c>
      <c r="G85" s="545">
        <f t="shared" si="17"/>
        <v>100</v>
      </c>
      <c r="H85" s="545">
        <f t="shared" si="17"/>
        <v>100</v>
      </c>
      <c r="I85" s="545">
        <f t="shared" si="17"/>
        <v>100</v>
      </c>
      <c r="J85" s="545">
        <f t="shared" si="17"/>
        <v>100</v>
      </c>
      <c r="K85" s="545">
        <f t="shared" si="17"/>
        <v>100</v>
      </c>
      <c r="L85" s="545">
        <f t="shared" si="17"/>
        <v>100</v>
      </c>
      <c r="M85" s="545">
        <f t="shared" si="17"/>
        <v>100</v>
      </c>
      <c r="N85" s="1155"/>
      <c r="O85" s="1155"/>
      <c r="P85" s="45"/>
      <c r="Q85" s="505"/>
    </row>
    <row r="86" spans="1:17" ht="15" thickTop="1">
      <c r="A86" s="600"/>
      <c r="B86" s="547" t="s">
        <v>2739</v>
      </c>
      <c r="C86" s="579" t="str">
        <f t="shared" ref="C86:L86" si="18">C87&amp;"(含)"&amp;"-"&amp;D87</f>
        <v>(含)-</v>
      </c>
      <c r="D86" s="579" t="str">
        <f t="shared" si="18"/>
        <v>(含)-</v>
      </c>
      <c r="E86" s="579" t="str">
        <f t="shared" si="18"/>
        <v>(含)-</v>
      </c>
      <c r="F86" s="579" t="str">
        <f t="shared" si="18"/>
        <v>(含)-</v>
      </c>
      <c r="G86" s="579" t="str">
        <f t="shared" si="18"/>
        <v>(含)-</v>
      </c>
      <c r="H86" s="579" t="str">
        <f t="shared" si="18"/>
        <v>(含)-</v>
      </c>
      <c r="I86" s="579" t="str">
        <f t="shared" si="18"/>
        <v>(含)-</v>
      </c>
      <c r="J86" s="579" t="str">
        <f t="shared" si="18"/>
        <v>(含)-</v>
      </c>
      <c r="K86" s="579" t="str">
        <f t="shared" si="18"/>
        <v>(含)-</v>
      </c>
      <c r="L86" s="579" t="str">
        <f t="shared" si="18"/>
        <v>(含)-</v>
      </c>
      <c r="M86" s="623" t="str">
        <f>M87&amp;"(含)"&amp;"-"&amp;P87</f>
        <v>(含)-</v>
      </c>
      <c r="N86" s="1154"/>
      <c r="O86" s="1154"/>
      <c r="P86" s="45"/>
      <c r="Q86" s="505"/>
    </row>
    <row r="87" spans="1:17">
      <c r="A87" s="600"/>
      <c r="B87" s="547"/>
      <c r="C87" s="596"/>
      <c r="D87" s="596"/>
      <c r="E87" s="596"/>
      <c r="F87" s="596"/>
      <c r="G87" s="596"/>
      <c r="H87" s="596"/>
      <c r="I87" s="596"/>
      <c r="J87" s="597"/>
      <c r="K87" s="597"/>
      <c r="L87" s="598"/>
      <c r="M87" s="599"/>
      <c r="N87" s="1154"/>
      <c r="O87" s="1154"/>
      <c r="P87" s="45"/>
      <c r="Q87" s="505"/>
    </row>
    <row r="88" spans="1:17" ht="15.75" thickBot="1">
      <c r="A88" s="535"/>
      <c r="B88" s="544"/>
      <c r="C88" s="561"/>
      <c r="D88" s="537"/>
      <c r="E88" s="537"/>
      <c r="F88" s="537"/>
      <c r="G88" s="537"/>
      <c r="H88" s="537"/>
      <c r="I88" s="537"/>
      <c r="J88" s="537"/>
      <c r="K88" s="537"/>
      <c r="L88" s="537"/>
      <c r="M88" s="537"/>
      <c r="N88" s="1155"/>
      <c r="O88" s="1155"/>
      <c r="P88" s="45"/>
      <c r="Q88" s="505"/>
    </row>
    <row r="89" spans="1:17" s="472" customFormat="1" ht="15" thickTop="1">
      <c r="A89" s="594"/>
      <c r="B89" s="539" t="s">
        <v>2740</v>
      </c>
      <c r="C89" s="555"/>
      <c r="D89" s="555"/>
      <c r="E89" s="555"/>
      <c r="F89" s="555"/>
      <c r="G89" s="555"/>
      <c r="H89" s="555"/>
      <c r="I89" s="555"/>
      <c r="J89" s="555"/>
      <c r="K89" s="555"/>
      <c r="L89" s="555"/>
      <c r="M89" s="582"/>
      <c r="N89" s="1156"/>
      <c r="O89" s="1156"/>
      <c r="P89" s="559"/>
      <c r="Q89" s="560"/>
    </row>
    <row r="90" spans="1:17" s="472" customFormat="1" ht="15.75" thickBot="1">
      <c r="A90" s="554"/>
      <c r="B90" s="544"/>
      <c r="C90" s="561"/>
      <c r="D90" s="537"/>
      <c r="E90" s="537"/>
      <c r="F90" s="537"/>
      <c r="G90" s="537"/>
      <c r="H90" s="537"/>
      <c r="I90" s="537"/>
      <c r="J90" s="537"/>
      <c r="K90" s="537"/>
      <c r="L90" s="537"/>
      <c r="M90" s="538"/>
      <c r="N90" s="1156"/>
      <c r="O90" s="1156"/>
      <c r="P90" s="559"/>
      <c r="Q90" s="560"/>
    </row>
    <row r="91" spans="1:17" ht="15" thickTop="1">
      <c r="A91" s="600"/>
      <c r="B91" s="539">
        <f>B32</f>
        <v>111</v>
      </c>
      <c r="C91" s="550"/>
      <c r="D91" s="550"/>
      <c r="E91" s="550"/>
      <c r="F91" s="550"/>
      <c r="G91" s="555"/>
      <c r="H91" s="556"/>
      <c r="I91" s="556"/>
      <c r="J91" s="556"/>
      <c r="K91" s="556"/>
      <c r="L91" s="557"/>
      <c r="M91" s="558"/>
      <c r="N91" s="1154"/>
      <c r="O91" s="1154"/>
      <c r="P91" s="45"/>
      <c r="Q91" s="505"/>
    </row>
    <row r="92" spans="1:17" ht="15.75" thickBot="1">
      <c r="A92" s="535"/>
      <c r="B92" s="544"/>
      <c r="C92" s="561"/>
      <c r="D92" s="537"/>
      <c r="E92" s="537"/>
      <c r="F92" s="537"/>
      <c r="G92" s="561"/>
      <c r="H92" s="563"/>
      <c r="I92" s="563"/>
      <c r="J92" s="563"/>
      <c r="K92" s="563"/>
      <c r="L92" s="563"/>
      <c r="M92" s="564"/>
      <c r="N92" s="1155"/>
      <c r="O92" s="1155"/>
      <c r="P92" s="45"/>
      <c r="Q92" s="505"/>
    </row>
    <row r="93" spans="1:17" ht="15" thickTop="1">
      <c r="A93" s="600"/>
      <c r="B93" s="539">
        <f>B33</f>
        <v>111</v>
      </c>
      <c r="C93" s="550"/>
      <c r="D93" s="550"/>
      <c r="E93" s="550"/>
      <c r="F93" s="550"/>
      <c r="G93" s="555"/>
      <c r="H93" s="556"/>
      <c r="I93" s="556"/>
      <c r="J93" s="556"/>
      <c r="K93" s="556"/>
      <c r="L93" s="557"/>
      <c r="M93" s="558"/>
      <c r="N93" s="1154"/>
      <c r="O93" s="1154"/>
      <c r="P93" s="45"/>
      <c r="Q93" s="505"/>
    </row>
    <row r="94" spans="1:17" ht="15.75" thickBot="1">
      <c r="A94" s="535"/>
      <c r="B94" s="544"/>
      <c r="C94" s="561"/>
      <c r="D94" s="537"/>
      <c r="E94" s="537"/>
      <c r="F94" s="537"/>
      <c r="G94" s="561"/>
      <c r="H94" s="563"/>
      <c r="I94" s="563"/>
      <c r="J94" s="563"/>
      <c r="K94" s="563"/>
      <c r="L94" s="563"/>
      <c r="M94" s="564"/>
      <c r="N94" s="1155"/>
      <c r="O94" s="1155"/>
      <c r="P94" s="45"/>
      <c r="Q94" s="505"/>
    </row>
    <row r="95" spans="1:17" ht="15" thickTop="1">
      <c r="A95" s="600"/>
      <c r="B95" s="637">
        <f>B34</f>
        <v>111</v>
      </c>
      <c r="C95" s="550"/>
      <c r="D95" s="550"/>
      <c r="E95" s="550"/>
      <c r="F95" s="550"/>
      <c r="G95" s="555"/>
      <c r="H95" s="556"/>
      <c r="I95" s="556"/>
      <c r="J95" s="556"/>
      <c r="K95" s="556"/>
      <c r="L95" s="557"/>
      <c r="M95" s="558"/>
      <c r="N95" s="1155"/>
      <c r="O95" s="1155"/>
      <c r="P95" s="638"/>
      <c r="Q95" s="639"/>
    </row>
    <row r="96" spans="1:17" ht="15.75" thickBot="1">
      <c r="A96" s="535"/>
      <c r="B96" s="544"/>
      <c r="C96" s="561"/>
      <c r="D96" s="561"/>
      <c r="E96" s="561"/>
      <c r="F96" s="561"/>
      <c r="G96" s="561"/>
      <c r="H96" s="563"/>
      <c r="I96" s="563"/>
      <c r="J96" s="563"/>
      <c r="K96" s="563"/>
      <c r="L96" s="563"/>
      <c r="M96" s="564"/>
      <c r="N96" s="1155"/>
      <c r="O96" s="1155"/>
      <c r="P96" s="45"/>
      <c r="Q96" s="505"/>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2741</v>
      </c>
      <c r="B1" s="396"/>
      <c r="C1" s="397"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8"/>
    </row>
    <row r="2" spans="1:30" s="399" customFormat="1" ht="28.5" customHeight="1">
      <c r="A2" s="246" t="s">
        <v>2325</v>
      </c>
      <c r="B2" s="672"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8"/>
    </row>
    <row r="3" spans="1:30" s="399" customFormat="1" ht="28.5" customHeight="1" thickBot="1">
      <c r="A3" s="248" t="s">
        <v>2327</v>
      </c>
      <c r="B3" s="610" t="e">
        <f>ROUND(IF(D3="",B2*10000/'数据-汇总表'!E3,B2*10000/D3),0)</f>
        <v>#DIV/0!</v>
      </c>
      <c r="C3" s="248" t="s">
        <v>2743</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2" t="s">
        <v>2642</v>
      </c>
      <c r="B4" s="403"/>
      <c r="C4" s="3165" t="s">
        <v>2643</v>
      </c>
      <c r="D4" s="3166"/>
      <c r="E4" s="3167" t="s">
        <v>2644</v>
      </c>
      <c r="F4" s="3168"/>
      <c r="G4" s="3165" t="s">
        <v>2645</v>
      </c>
      <c r="H4" s="3166"/>
      <c r="I4" s="3165" t="s">
        <v>2646</v>
      </c>
      <c r="J4" s="3166"/>
      <c r="K4" s="611" t="s">
        <v>2647</v>
      </c>
      <c r="L4" s="1132"/>
      <c r="M4" s="1133"/>
      <c r="N4" s="1133"/>
      <c r="O4" s="1133"/>
      <c r="P4" s="3169" t="s">
        <v>2648</v>
      </c>
      <c r="Q4" s="3170"/>
      <c r="R4" s="3151" t="s">
        <v>2644</v>
      </c>
      <c r="S4" s="3152"/>
      <c r="T4" s="3151" t="s">
        <v>2645</v>
      </c>
      <c r="U4" s="3152"/>
      <c r="V4" s="3177" t="s">
        <v>2646</v>
      </c>
      <c r="W4" s="3177"/>
      <c r="X4" s="1816"/>
      <c r="Y4" s="3151" t="s">
        <v>2648</v>
      </c>
      <c r="Z4" s="3152"/>
      <c r="AA4" s="3146" t="s">
        <v>2644</v>
      </c>
      <c r="AB4" s="3147" t="s">
        <v>2645</v>
      </c>
      <c r="AC4" s="3146" t="s">
        <v>2646</v>
      </c>
    </row>
    <row r="5" spans="1:30" ht="15">
      <c r="A5" s="405"/>
      <c r="B5" s="406"/>
      <c r="C5" s="3157" t="s">
        <v>2540</v>
      </c>
      <c r="D5" s="3158"/>
      <c r="E5" s="3227" t="s">
        <v>2541</v>
      </c>
      <c r="F5" s="3156"/>
      <c r="G5" s="3157" t="s">
        <v>2542</v>
      </c>
      <c r="H5" s="3158"/>
      <c r="I5" s="3157" t="s">
        <v>2543</v>
      </c>
      <c r="J5" s="3158"/>
      <c r="K5" s="611"/>
      <c r="L5" s="1132"/>
      <c r="M5" s="1133"/>
      <c r="N5" s="1133"/>
      <c r="O5" s="1133"/>
      <c r="P5" s="3171"/>
      <c r="Q5" s="3172"/>
      <c r="R5" s="3153"/>
      <c r="S5" s="3154"/>
      <c r="T5" s="3153"/>
      <c r="U5" s="3154"/>
      <c r="V5" s="3177"/>
      <c r="W5" s="3177"/>
      <c r="X5" s="1816"/>
      <c r="Y5" s="3153"/>
      <c r="Z5" s="3154"/>
      <c r="AA5" s="3147"/>
      <c r="AB5" s="3147"/>
      <c r="AC5" s="3147"/>
    </row>
    <row r="6" spans="1:30" ht="15.75" thickBot="1">
      <c r="A6" s="407"/>
      <c r="B6" s="408"/>
      <c r="C6" s="3159" t="s">
        <v>2544</v>
      </c>
      <c r="D6" s="3160"/>
      <c r="E6" s="3162" t="s">
        <v>2544</v>
      </c>
      <c r="F6" s="3163"/>
      <c r="G6" s="3159" t="s">
        <v>2544</v>
      </c>
      <c r="H6" s="3160"/>
      <c r="I6" s="3159" t="s">
        <v>2544</v>
      </c>
      <c r="J6" s="3160"/>
      <c r="K6" s="611" t="s">
        <v>2545</v>
      </c>
      <c r="L6" s="1132"/>
      <c r="M6" s="1133"/>
      <c r="N6" s="1133"/>
      <c r="O6" s="1133"/>
      <c r="P6" s="3173"/>
      <c r="Q6" s="3174"/>
      <c r="R6" s="3153"/>
      <c r="S6" s="3154"/>
      <c r="T6" s="3175"/>
      <c r="U6" s="3176"/>
      <c r="V6" s="3177"/>
      <c r="W6" s="3177"/>
      <c r="X6" s="1816"/>
      <c r="Y6" s="3175"/>
      <c r="Z6" s="3176"/>
      <c r="AA6" s="3148"/>
      <c r="AB6" s="3148"/>
      <c r="AC6" s="3148"/>
    </row>
    <row r="7" spans="1:30" s="117" customFormat="1" ht="15.75" thickBot="1">
      <c r="A7" s="409" t="s">
        <v>2546</v>
      </c>
      <c r="B7" s="410"/>
      <c r="C7" s="411">
        <f>'数据-取费表'!B2</f>
        <v>43040</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4"/>
      <c r="M7" s="1135"/>
      <c r="N7" s="1135"/>
      <c r="O7" s="1135"/>
      <c r="P7" s="3149" t="s">
        <v>2547</v>
      </c>
      <c r="Q7" s="3178"/>
      <c r="R7" s="769" t="s">
        <v>17</v>
      </c>
      <c r="S7" s="770">
        <f t="shared" ref="S7:S15" si="0">F7</f>
        <v>0</v>
      </c>
      <c r="T7" s="769" t="s">
        <v>17</v>
      </c>
      <c r="U7" s="770">
        <f t="shared" ref="U7:U15" si="1">H7</f>
        <v>0</v>
      </c>
      <c r="V7" s="769" t="s">
        <v>17</v>
      </c>
      <c r="W7" s="770">
        <f t="shared" ref="W7:W15" si="2">J7</f>
        <v>0</v>
      </c>
      <c r="X7" s="771"/>
      <c r="Y7" s="3149" t="s">
        <v>2547</v>
      </c>
      <c r="Z7" s="3150"/>
      <c r="AA7" s="772" t="e">
        <f>D7/F7</f>
        <v>#DIV/0!</v>
      </c>
      <c r="AB7" s="772" t="e">
        <f>D7/H7</f>
        <v>#DIV/0!</v>
      </c>
      <c r="AC7" s="772"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4"/>
      <c r="M8" s="1135"/>
      <c r="N8" s="1135"/>
      <c r="O8" s="1135"/>
      <c r="P8" s="3149" t="s">
        <v>2550</v>
      </c>
      <c r="Q8" s="3150"/>
      <c r="R8" s="769" t="s">
        <v>17</v>
      </c>
      <c r="S8" s="770">
        <f t="shared" si="0"/>
        <v>0</v>
      </c>
      <c r="T8" s="769" t="s">
        <v>17</v>
      </c>
      <c r="U8" s="770">
        <f t="shared" si="1"/>
        <v>0</v>
      </c>
      <c r="V8" s="769" t="s">
        <v>17</v>
      </c>
      <c r="W8" s="770">
        <f t="shared" si="2"/>
        <v>0</v>
      </c>
      <c r="X8" s="771"/>
      <c r="Y8" s="3149" t="s">
        <v>2550</v>
      </c>
      <c r="Z8" s="3150"/>
      <c r="AA8" s="772" t="e">
        <f t="shared" ref="AA8:AA45" si="3">D8/F8</f>
        <v>#DIV/0!</v>
      </c>
      <c r="AB8" s="772" t="e">
        <f t="shared" ref="AB8:AB45" si="4">D8/H8</f>
        <v>#DIV/0!</v>
      </c>
      <c r="AC8" s="772" t="e">
        <f t="shared" ref="AC8:AC45" si="5">D8/J8</f>
        <v>#DIV/0!</v>
      </c>
    </row>
    <row r="9" spans="1:30" s="117" customFormat="1">
      <c r="A9" s="416" t="s">
        <v>2551</v>
      </c>
      <c r="B9" s="71" t="s">
        <v>2552</v>
      </c>
      <c r="C9" s="2702"/>
      <c r="D9" s="135">
        <v>100</v>
      </c>
      <c r="E9" s="2702"/>
      <c r="F9" s="135">
        <f>SUMIF(75:75,E9,76:76)-SUMIF(75:75,C9,76:76)+100</f>
        <v>100</v>
      </c>
      <c r="G9" s="2702"/>
      <c r="H9" s="135">
        <f>SUMIF(75:75,G9,76:76)-SUMIF(75:75,C9,76:76)+100</f>
        <v>100</v>
      </c>
      <c r="I9" s="2702"/>
      <c r="J9" s="135">
        <f>SUMIF(75:75,I9,76:76)-SUMIF(75:75,C9,76:76)+100</f>
        <v>100</v>
      </c>
      <c r="K9" s="612"/>
      <c r="L9" s="1134"/>
      <c r="M9" s="1135"/>
      <c r="N9" s="1135"/>
      <c r="O9" s="1136"/>
      <c r="P9" s="3182" t="s">
        <v>2553</v>
      </c>
      <c r="Q9" s="1798" t="str">
        <f t="shared" ref="Q9:Q15" si="6">B9</f>
        <v>用途</v>
      </c>
      <c r="R9" s="769" t="s">
        <v>17</v>
      </c>
      <c r="S9" s="770">
        <f t="shared" si="0"/>
        <v>100</v>
      </c>
      <c r="T9" s="769" t="s">
        <v>17</v>
      </c>
      <c r="U9" s="770">
        <f t="shared" si="1"/>
        <v>100</v>
      </c>
      <c r="V9" s="769" t="s">
        <v>17</v>
      </c>
      <c r="W9" s="770">
        <f t="shared" si="2"/>
        <v>100</v>
      </c>
      <c r="X9" s="771"/>
      <c r="Y9" s="3026" t="s">
        <v>2554</v>
      </c>
      <c r="Z9" s="55" t="str">
        <f t="shared" ref="Z9:Z15" si="7">Q9</f>
        <v>用途</v>
      </c>
      <c r="AA9" s="772">
        <f t="shared" si="3"/>
        <v>1</v>
      </c>
      <c r="AB9" s="772">
        <f t="shared" si="4"/>
        <v>1</v>
      </c>
      <c r="AC9" s="772">
        <f t="shared" si="5"/>
        <v>1</v>
      </c>
    </row>
    <row r="10" spans="1:30" s="428" customFormat="1" ht="27">
      <c r="A10" s="422"/>
      <c r="B10" s="423" t="s">
        <v>2555</v>
      </c>
      <c r="C10" s="433"/>
      <c r="D10" s="136">
        <v>100</v>
      </c>
      <c r="E10" s="466"/>
      <c r="F10" s="136">
        <f>ROUND(100/'数据-取费表'!G16,0)</f>
        <v>104</v>
      </c>
      <c r="G10" s="464"/>
      <c r="H10" s="136">
        <f>ROUND(100/'数据-取费表'!G16,0)</f>
        <v>104</v>
      </c>
      <c r="I10" s="464"/>
      <c r="J10" s="136">
        <f>ROUND(100/'数据-取费表'!G16,0)</f>
        <v>104</v>
      </c>
      <c r="K10" s="673"/>
      <c r="L10" s="1137"/>
      <c r="M10" s="1138"/>
      <c r="N10" s="1138"/>
      <c r="O10" s="1139"/>
      <c r="P10" s="3182"/>
      <c r="Q10" s="1798" t="str">
        <f t="shared" si="6"/>
        <v>土地使用年限（年）</v>
      </c>
      <c r="R10" s="769" t="s">
        <v>17</v>
      </c>
      <c r="S10" s="770">
        <f t="shared" si="0"/>
        <v>104</v>
      </c>
      <c r="T10" s="769" t="s">
        <v>17</v>
      </c>
      <c r="U10" s="770">
        <f t="shared" si="1"/>
        <v>104</v>
      </c>
      <c r="V10" s="769" t="s">
        <v>17</v>
      </c>
      <c r="W10" s="770">
        <f t="shared" si="2"/>
        <v>104</v>
      </c>
      <c r="X10" s="771"/>
      <c r="Y10" s="3026"/>
      <c r="Z10" s="55" t="str">
        <f t="shared" si="7"/>
        <v>土地使用年限（年）</v>
      </c>
      <c r="AA10" s="772">
        <f t="shared" si="3"/>
        <v>0.96153846153846156</v>
      </c>
      <c r="AB10" s="772">
        <f t="shared" si="4"/>
        <v>0.96153846153846156</v>
      </c>
      <c r="AC10" s="772">
        <f t="shared" si="5"/>
        <v>0.96153846153846156</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0"/>
      <c r="M11" s="1133"/>
      <c r="N11" s="1133"/>
      <c r="O11" s="1141"/>
      <c r="P11" s="3182"/>
      <c r="Q11" s="1798"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772" t="e">
        <f t="shared" si="5"/>
        <v>#N/A</v>
      </c>
    </row>
    <row r="12" spans="1:30" s="117" customFormat="1" ht="15">
      <c r="A12" s="432"/>
      <c r="B12" s="2603" t="s">
        <v>2744</v>
      </c>
      <c r="C12" s="433"/>
      <c r="D12" s="434">
        <v>100</v>
      </c>
      <c r="E12" s="466"/>
      <c r="F12" s="136">
        <f>SUMIF(82:82,E12,83:83)-SUMIF(82:82,C12,83:83)+100</f>
        <v>100</v>
      </c>
      <c r="G12" s="464"/>
      <c r="H12" s="136">
        <f>SUMIF(82:82,G12,83:83)-SUMIF(82:82,C12,83:83)+100</f>
        <v>100</v>
      </c>
      <c r="I12" s="466"/>
      <c r="J12" s="136">
        <f>SUMIF(82:82,I12,83:83)-SUMIF(82:82,C12,83:83)+100</f>
        <v>100</v>
      </c>
      <c r="K12" s="673"/>
      <c r="L12" s="1134"/>
      <c r="M12" s="1135"/>
      <c r="N12" s="1135"/>
      <c r="O12" s="1136"/>
      <c r="P12" s="3182"/>
      <c r="Q12" s="1798" t="str">
        <f t="shared" si="6"/>
        <v>配建</v>
      </c>
      <c r="R12" s="769" t="s">
        <v>17</v>
      </c>
      <c r="S12" s="770">
        <f t="shared" si="0"/>
        <v>100</v>
      </c>
      <c r="T12" s="769" t="s">
        <v>17</v>
      </c>
      <c r="U12" s="770">
        <f t="shared" si="1"/>
        <v>100</v>
      </c>
      <c r="V12" s="769" t="s">
        <v>17</v>
      </c>
      <c r="W12" s="770">
        <f t="shared" si="2"/>
        <v>100</v>
      </c>
      <c r="X12" s="771"/>
      <c r="Y12" s="3026"/>
      <c r="Z12" s="55" t="str">
        <f t="shared" si="7"/>
        <v>配建</v>
      </c>
      <c r="AA12" s="772">
        <f>D12/F12</f>
        <v>1</v>
      </c>
      <c r="AB12" s="772">
        <f>D12/H12</f>
        <v>1</v>
      </c>
      <c r="AC12" s="772">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2"/>
      <c r="M13" s="1133"/>
      <c r="N13" s="1133"/>
      <c r="O13" s="1141"/>
      <c r="P13" s="3182"/>
      <c r="Q13" s="1798">
        <f t="shared" si="6"/>
        <v>111</v>
      </c>
      <c r="R13" s="769" t="s">
        <v>17</v>
      </c>
      <c r="S13" s="770">
        <f t="shared" si="0"/>
        <v>100</v>
      </c>
      <c r="T13" s="769" t="s">
        <v>17</v>
      </c>
      <c r="U13" s="770">
        <f t="shared" si="1"/>
        <v>100</v>
      </c>
      <c r="V13" s="769" t="s">
        <v>17</v>
      </c>
      <c r="W13" s="770">
        <f t="shared" si="2"/>
        <v>100</v>
      </c>
      <c r="X13" s="771"/>
      <c r="Y13" s="3026"/>
      <c r="Z13" s="55">
        <f t="shared" si="7"/>
        <v>111</v>
      </c>
      <c r="AA13" s="772">
        <f>D13/F13</f>
        <v>1</v>
      </c>
      <c r="AB13" s="772">
        <f>D13/H13</f>
        <v>1</v>
      </c>
      <c r="AC13" s="772">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2"/>
      <c r="M14" s="1133"/>
      <c r="N14" s="1133"/>
      <c r="O14" s="1141"/>
      <c r="P14" s="3182"/>
      <c r="Q14" s="1798">
        <f t="shared" si="6"/>
        <v>111</v>
      </c>
      <c r="R14" s="769" t="s">
        <v>17</v>
      </c>
      <c r="S14" s="770">
        <f t="shared" si="0"/>
        <v>100</v>
      </c>
      <c r="T14" s="769" t="s">
        <v>17</v>
      </c>
      <c r="U14" s="770">
        <f t="shared" si="1"/>
        <v>100</v>
      </c>
      <c r="V14" s="769" t="s">
        <v>17</v>
      </c>
      <c r="W14" s="770">
        <f t="shared" si="2"/>
        <v>100</v>
      </c>
      <c r="X14" s="771"/>
      <c r="Y14" s="3026"/>
      <c r="Z14" s="55">
        <f t="shared" si="7"/>
        <v>111</v>
      </c>
      <c r="AA14" s="772">
        <f>D14/F14</f>
        <v>1</v>
      </c>
      <c r="AB14" s="772">
        <f>D14/H14</f>
        <v>1</v>
      </c>
      <c r="AC14" s="772">
        <f>D14/J14</f>
        <v>1</v>
      </c>
    </row>
    <row r="15" spans="1:30" ht="85.5">
      <c r="A15" s="441" t="s">
        <v>2557</v>
      </c>
      <c r="B15" s="69" t="s">
        <v>2084</v>
      </c>
      <c r="C15" s="2606" t="str">
        <f>估价对象房地状况!C15</f>
        <v>估价对象周边居住用地比例大、居住小区规模和社区发展完善，综合评价居住社区成熟度好</v>
      </c>
      <c r="D15" s="442">
        <v>100</v>
      </c>
      <c r="E15" s="443"/>
      <c r="F15" s="442">
        <f>SUMIF(88:88,E16,89:89)-SUMIF(88:88,C16,89:89)+100</f>
        <v>100</v>
      </c>
      <c r="G15" s="443"/>
      <c r="H15" s="442">
        <f>SUMIF(88:88,G16,89:89)-SUMIF(88:88,C16,89:89)+100</f>
        <v>100</v>
      </c>
      <c r="I15" s="445"/>
      <c r="J15" s="442">
        <f>SUMIF(88:88,I16,89:89)-SUMIF(88:88,C16,89:89)+100</f>
        <v>100</v>
      </c>
      <c r="K15" s="674"/>
      <c r="L15" s="1142"/>
      <c r="M15" s="1133"/>
      <c r="N15" s="1133"/>
      <c r="O15" s="1141"/>
      <c r="P15" s="3184" t="s">
        <v>2558</v>
      </c>
      <c r="Q15" s="1813" t="str">
        <f t="shared" si="6"/>
        <v>居住社区成熟度</v>
      </c>
      <c r="R15" s="773" t="s">
        <v>17</v>
      </c>
      <c r="S15" s="774">
        <f t="shared" si="0"/>
        <v>100</v>
      </c>
      <c r="T15" s="773" t="s">
        <v>17</v>
      </c>
      <c r="U15" s="774">
        <f t="shared" si="1"/>
        <v>100</v>
      </c>
      <c r="V15" s="773" t="s">
        <v>17</v>
      </c>
      <c r="W15" s="774">
        <f t="shared" si="2"/>
        <v>100</v>
      </c>
      <c r="X15" s="1816"/>
      <c r="Y15" s="3184" t="s">
        <v>2558</v>
      </c>
      <c r="Z15" s="1817" t="str">
        <f t="shared" si="7"/>
        <v>居住社区成熟度</v>
      </c>
      <c r="AA15" s="1814">
        <f t="shared" si="3"/>
        <v>1</v>
      </c>
      <c r="AB15" s="1814">
        <f t="shared" si="4"/>
        <v>1</v>
      </c>
      <c r="AC15" s="1814">
        <f t="shared" si="5"/>
        <v>1</v>
      </c>
    </row>
    <row r="16" spans="1:30" ht="15">
      <c r="A16" s="429"/>
      <c r="B16" s="447"/>
      <c r="C16" s="448"/>
      <c r="D16" s="449"/>
      <c r="E16" s="2608"/>
      <c r="F16" s="449"/>
      <c r="G16" s="2608"/>
      <c r="H16" s="451"/>
      <c r="I16" s="2607"/>
      <c r="J16" s="449"/>
      <c r="K16" s="673"/>
      <c r="L16" s="1142"/>
      <c r="M16" s="1133"/>
      <c r="N16" s="1133"/>
      <c r="O16" s="1141"/>
      <c r="P16" s="3185"/>
      <c r="Q16" s="1813"/>
      <c r="R16" s="773"/>
      <c r="S16" s="774"/>
      <c r="T16" s="773"/>
      <c r="U16" s="774"/>
      <c r="V16" s="773"/>
      <c r="W16" s="774"/>
      <c r="X16" s="1816"/>
      <c r="Y16" s="3185"/>
      <c r="Z16" s="1817"/>
      <c r="AA16" s="1814">
        <v>1</v>
      </c>
      <c r="AB16" s="1814">
        <v>1</v>
      </c>
      <c r="AC16" s="1814">
        <v>1</v>
      </c>
    </row>
    <row r="17" spans="1:29" ht="71.25">
      <c r="A17" s="429"/>
      <c r="B17" s="452" t="s">
        <v>2650</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2"/>
      <c r="M17" s="1133"/>
      <c r="N17" s="1133"/>
      <c r="O17" s="1141"/>
      <c r="P17" s="3185"/>
      <c r="Q17" s="1813" t="str">
        <f>B17</f>
        <v>商业繁华度</v>
      </c>
      <c r="R17" s="773" t="s">
        <v>17</v>
      </c>
      <c r="S17" s="774">
        <f>F17</f>
        <v>100</v>
      </c>
      <c r="T17" s="773" t="s">
        <v>17</v>
      </c>
      <c r="U17" s="774">
        <f>H17</f>
        <v>100</v>
      </c>
      <c r="V17" s="773" t="s">
        <v>17</v>
      </c>
      <c r="W17" s="774">
        <f>J17</f>
        <v>100</v>
      </c>
      <c r="X17" s="1816"/>
      <c r="Y17" s="3185"/>
      <c r="Z17" s="1817" t="str">
        <f>Q17</f>
        <v>商业繁华度</v>
      </c>
      <c r="AA17" s="1814">
        <f t="shared" si="3"/>
        <v>1</v>
      </c>
      <c r="AB17" s="1814">
        <f t="shared" si="4"/>
        <v>1</v>
      </c>
      <c r="AC17" s="1814">
        <f t="shared" si="5"/>
        <v>1</v>
      </c>
    </row>
    <row r="18" spans="1:29" ht="15">
      <c r="A18" s="429"/>
      <c r="B18" s="457"/>
      <c r="C18" s="2611"/>
      <c r="D18" s="451"/>
      <c r="E18" s="2613"/>
      <c r="F18" s="451"/>
      <c r="G18" s="2613"/>
      <c r="H18" s="449"/>
      <c r="I18" s="2612"/>
      <c r="J18" s="449"/>
      <c r="K18" s="673"/>
      <c r="L18" s="1142"/>
      <c r="M18" s="1133"/>
      <c r="N18" s="1133"/>
      <c r="O18" s="1141"/>
      <c r="P18" s="3185"/>
      <c r="Q18" s="1813"/>
      <c r="R18" s="773"/>
      <c r="S18" s="774"/>
      <c r="T18" s="773"/>
      <c r="U18" s="774"/>
      <c r="V18" s="773"/>
      <c r="W18" s="774"/>
      <c r="X18" s="1816"/>
      <c r="Y18" s="3185"/>
      <c r="Z18" s="1817"/>
      <c r="AA18" s="1814">
        <v>1</v>
      </c>
      <c r="AB18" s="1814">
        <v>1</v>
      </c>
      <c r="AC18" s="1814">
        <v>1</v>
      </c>
    </row>
    <row r="19" spans="1:29" ht="71.25">
      <c r="A19" s="429"/>
      <c r="B19" s="452" t="s">
        <v>2684</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2"/>
      <c r="M19" s="1133"/>
      <c r="N19" s="1133"/>
      <c r="O19" s="1141"/>
      <c r="P19" s="3185"/>
      <c r="Q19" s="1813" t="str">
        <f>B19</f>
        <v>办公集聚程度</v>
      </c>
      <c r="R19" s="773" t="s">
        <v>17</v>
      </c>
      <c r="S19" s="774">
        <f>F19</f>
        <v>100</v>
      </c>
      <c r="T19" s="773" t="s">
        <v>17</v>
      </c>
      <c r="U19" s="774">
        <f>H19</f>
        <v>100</v>
      </c>
      <c r="V19" s="773" t="s">
        <v>17</v>
      </c>
      <c r="W19" s="774">
        <f>J19</f>
        <v>100</v>
      </c>
      <c r="X19" s="1816"/>
      <c r="Y19" s="3185"/>
      <c r="Z19" s="1817" t="str">
        <f>Q19</f>
        <v>办公集聚程度</v>
      </c>
      <c r="AA19" s="1814">
        <f t="shared" si="3"/>
        <v>1</v>
      </c>
      <c r="AB19" s="1814">
        <f t="shared" si="4"/>
        <v>1</v>
      </c>
      <c r="AC19" s="1814">
        <f t="shared" si="5"/>
        <v>1</v>
      </c>
    </row>
    <row r="20" spans="1:29" ht="15">
      <c r="A20" s="429"/>
      <c r="B20" s="457"/>
      <c r="C20" s="448"/>
      <c r="D20" s="449"/>
      <c r="E20" s="2608"/>
      <c r="F20" s="449"/>
      <c r="G20" s="2608"/>
      <c r="H20" s="449"/>
      <c r="I20" s="2607"/>
      <c r="J20" s="449"/>
      <c r="K20" s="673"/>
      <c r="L20" s="1142"/>
      <c r="M20" s="1133"/>
      <c r="N20" s="1133"/>
      <c r="O20" s="1141"/>
      <c r="P20" s="3185"/>
      <c r="Q20" s="1813"/>
      <c r="R20" s="773"/>
      <c r="S20" s="774"/>
      <c r="T20" s="773"/>
      <c r="U20" s="774"/>
      <c r="V20" s="773"/>
      <c r="W20" s="774"/>
      <c r="X20" s="1816"/>
      <c r="Y20" s="3185"/>
      <c r="Z20" s="1817"/>
      <c r="AA20" s="1814">
        <v>1</v>
      </c>
      <c r="AB20" s="1814">
        <v>1</v>
      </c>
      <c r="AC20" s="1814">
        <v>1</v>
      </c>
    </row>
    <row r="21" spans="1:29" ht="71.25">
      <c r="A21" s="429"/>
      <c r="B21" s="452" t="s">
        <v>2706</v>
      </c>
      <c r="C21" s="2610" t="str">
        <f>估价对象房地状况!C18</f>
        <v>估价对象周边道路通达、公共交通通达、停车便捷，综合评价交通便捷度好</v>
      </c>
      <c r="D21" s="451">
        <v>100</v>
      </c>
      <c r="E21" s="453"/>
      <c r="F21" s="456">
        <f>SUMIF(94:94,E22,95:95)-SUMIF(94:94,C22,95:95)+100</f>
        <v>100</v>
      </c>
      <c r="G21" s="453"/>
      <c r="H21" s="451">
        <f>SUMIF(94:94,G22,95:95)-SUMIF(94:94,C22,95:95)+100</f>
        <v>100</v>
      </c>
      <c r="I21" s="455"/>
      <c r="J21" s="451">
        <f>SUMIF(94:94,I22,95:95)-SUMIF(94:94,C22,95:95)+100</f>
        <v>100</v>
      </c>
      <c r="K21" s="674"/>
      <c r="L21" s="1142"/>
      <c r="M21" s="1133"/>
      <c r="N21" s="1133"/>
      <c r="O21" s="1141"/>
      <c r="P21" s="3185"/>
      <c r="Q21" s="1813" t="str">
        <f>B21</f>
        <v>交通便捷度</v>
      </c>
      <c r="R21" s="773" t="s">
        <v>17</v>
      </c>
      <c r="S21" s="774">
        <f>F21</f>
        <v>100</v>
      </c>
      <c r="T21" s="773" t="s">
        <v>17</v>
      </c>
      <c r="U21" s="774">
        <f>H21</f>
        <v>100</v>
      </c>
      <c r="V21" s="773" t="s">
        <v>17</v>
      </c>
      <c r="W21" s="774">
        <f>J21</f>
        <v>100</v>
      </c>
      <c r="X21" s="1816"/>
      <c r="Y21" s="3185"/>
      <c r="Z21" s="1817" t="str">
        <f>Q21</f>
        <v>交通便捷度</v>
      </c>
      <c r="AA21" s="1814">
        <f t="shared" si="3"/>
        <v>1</v>
      </c>
      <c r="AB21" s="1814">
        <f t="shared" si="4"/>
        <v>1</v>
      </c>
      <c r="AC21" s="1814">
        <f t="shared" si="5"/>
        <v>1</v>
      </c>
    </row>
    <row r="22" spans="1:29" ht="15">
      <c r="A22" s="429"/>
      <c r="B22" s="1386"/>
      <c r="C22" s="448"/>
      <c r="D22" s="451"/>
      <c r="E22" s="2608"/>
      <c r="F22" s="449"/>
      <c r="G22" s="2608"/>
      <c r="H22" s="449"/>
      <c r="I22" s="2607"/>
      <c r="J22" s="449"/>
      <c r="K22" s="673"/>
      <c r="L22" s="1142"/>
      <c r="M22" s="1133"/>
      <c r="N22" s="1133"/>
      <c r="O22" s="1141"/>
      <c r="P22" s="3185"/>
      <c r="Q22" s="1813"/>
      <c r="R22" s="773"/>
      <c r="S22" s="774"/>
      <c r="T22" s="773"/>
      <c r="U22" s="774"/>
      <c r="V22" s="773"/>
      <c r="W22" s="774"/>
      <c r="X22" s="1816"/>
      <c r="Y22" s="3185"/>
      <c r="Z22" s="1817"/>
      <c r="AA22" s="1814">
        <v>1</v>
      </c>
      <c r="AB22" s="1814">
        <v>1</v>
      </c>
      <c r="AC22" s="1814">
        <v>1</v>
      </c>
    </row>
    <row r="23" spans="1:29" ht="15">
      <c r="A23" s="405"/>
      <c r="B23" s="452" t="s">
        <v>2745</v>
      </c>
      <c r="C23" s="1391"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2"/>
      <c r="M23" s="1133"/>
      <c r="N23" s="1133"/>
      <c r="O23" s="1141"/>
      <c r="P23" s="3185"/>
      <c r="Q23" s="1813" t="str">
        <f t="shared" ref="Q23:Q37" si="8">B23</f>
        <v>区域土地利用方向</v>
      </c>
      <c r="R23" s="773" t="s">
        <v>17</v>
      </c>
      <c r="S23" s="774">
        <f>F23</f>
        <v>100</v>
      </c>
      <c r="T23" s="773" t="s">
        <v>17</v>
      </c>
      <c r="U23" s="774">
        <f>H23</f>
        <v>100</v>
      </c>
      <c r="V23" s="773" t="s">
        <v>17</v>
      </c>
      <c r="W23" s="774">
        <f>J23</f>
        <v>100</v>
      </c>
      <c r="X23" s="1816"/>
      <c r="Y23" s="3185"/>
      <c r="Z23" s="1817" t="str">
        <f>Q23</f>
        <v>区域土地利用方向</v>
      </c>
      <c r="AA23" s="1814">
        <f t="shared" si="3"/>
        <v>1</v>
      </c>
      <c r="AB23" s="1814">
        <f t="shared" si="4"/>
        <v>1</v>
      </c>
      <c r="AC23" s="1814">
        <f t="shared" si="5"/>
        <v>1</v>
      </c>
    </row>
    <row r="24" spans="1:29" ht="15">
      <c r="A24" s="405"/>
      <c r="B24" s="457"/>
      <c r="C24" s="617"/>
      <c r="D24" s="449"/>
      <c r="E24" s="2608"/>
      <c r="F24" s="449"/>
      <c r="G24" s="2607"/>
      <c r="H24" s="449"/>
      <c r="I24" s="2607"/>
      <c r="J24" s="449"/>
      <c r="K24" s="811"/>
      <c r="L24" s="1142"/>
      <c r="M24" s="1133"/>
      <c r="N24" s="1133"/>
      <c r="O24" s="1141"/>
      <c r="P24" s="3185"/>
      <c r="Q24" s="1813"/>
      <c r="R24" s="773"/>
      <c r="S24" s="774"/>
      <c r="T24" s="773"/>
      <c r="U24" s="774"/>
      <c r="V24" s="773"/>
      <c r="W24" s="774"/>
      <c r="X24" s="1816"/>
      <c r="Y24" s="3185"/>
      <c r="Z24" s="1817"/>
      <c r="AA24" s="1814"/>
      <c r="AB24" s="1814"/>
      <c r="AC24" s="1814"/>
    </row>
    <row r="25" spans="1:29" ht="57">
      <c r="A25" s="405"/>
      <c r="B25" s="1386" t="s">
        <v>2746</v>
      </c>
      <c r="C25" s="2667" t="str">
        <f>估价对象房地状况!C20</f>
        <v>区域自然环境较好；人文环境较好；综合评价环境状况较好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2"/>
      <c r="M25" s="1133"/>
      <c r="N25" s="1133"/>
      <c r="O25" s="1141"/>
      <c r="P25" s="3185"/>
      <c r="Q25" s="1813" t="str">
        <f t="shared" si="8"/>
        <v>自然及人文环境状况</v>
      </c>
      <c r="R25" s="773" t="s">
        <v>17</v>
      </c>
      <c r="S25" s="774">
        <f>F25</f>
        <v>100</v>
      </c>
      <c r="T25" s="773" t="s">
        <v>17</v>
      </c>
      <c r="U25" s="774">
        <f>H25</f>
        <v>100</v>
      </c>
      <c r="V25" s="773" t="s">
        <v>17</v>
      </c>
      <c r="W25" s="774">
        <f>J25</f>
        <v>100</v>
      </c>
      <c r="X25" s="1816"/>
      <c r="Y25" s="3185"/>
      <c r="Z25" s="1817" t="str">
        <f>Q25</f>
        <v>自然及人文环境状况</v>
      </c>
      <c r="AA25" s="1814">
        <f t="shared" si="3"/>
        <v>1</v>
      </c>
      <c r="AB25" s="1814">
        <f t="shared" si="4"/>
        <v>1</v>
      </c>
      <c r="AC25" s="1814">
        <f t="shared" si="5"/>
        <v>1</v>
      </c>
    </row>
    <row r="26" spans="1:29" ht="15">
      <c r="A26" s="405"/>
      <c r="B26" s="457"/>
      <c r="C26" s="448"/>
      <c r="D26" s="449"/>
      <c r="E26" s="2614"/>
      <c r="F26" s="449"/>
      <c r="G26" s="2614"/>
      <c r="H26" s="449"/>
      <c r="I26" s="448"/>
      <c r="J26" s="449"/>
      <c r="K26" s="673"/>
      <c r="L26" s="1142"/>
      <c r="M26" s="1133"/>
      <c r="N26" s="1133"/>
      <c r="O26" s="1141"/>
      <c r="P26" s="3185"/>
      <c r="Q26" s="1813"/>
      <c r="R26" s="773"/>
      <c r="S26" s="774"/>
      <c r="T26" s="773"/>
      <c r="U26" s="774"/>
      <c r="V26" s="773"/>
      <c r="W26" s="774"/>
      <c r="X26" s="1816"/>
      <c r="Y26" s="3185"/>
      <c r="Z26" s="1817"/>
      <c r="AA26" s="1814">
        <v>1</v>
      </c>
      <c r="AB26" s="1814">
        <v>1</v>
      </c>
      <c r="AC26" s="1814">
        <v>1</v>
      </c>
    </row>
    <row r="27" spans="1:29" s="117" customFormat="1" ht="42.75">
      <c r="A27" s="650"/>
      <c r="B27" s="1386" t="s">
        <v>2651</v>
      </c>
      <c r="C27" s="2610"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4"/>
      <c r="M27" s="1135"/>
      <c r="N27" s="1135"/>
      <c r="O27" s="1136"/>
      <c r="P27" s="3185"/>
      <c r="Q27" s="1798" t="str">
        <f t="shared" si="8"/>
        <v>公共配套设施</v>
      </c>
      <c r="R27" s="769" t="s">
        <v>17</v>
      </c>
      <c r="S27" s="770">
        <f>F27</f>
        <v>100</v>
      </c>
      <c r="T27" s="769" t="s">
        <v>17</v>
      </c>
      <c r="U27" s="770">
        <f>H27</f>
        <v>100</v>
      </c>
      <c r="V27" s="769" t="s">
        <v>17</v>
      </c>
      <c r="W27" s="770">
        <f>J27</f>
        <v>100</v>
      </c>
      <c r="X27" s="771"/>
      <c r="Y27" s="3185"/>
      <c r="Z27" s="55" t="str">
        <f>Q27</f>
        <v>公共配套设施</v>
      </c>
      <c r="AA27" s="1814">
        <f>D27/F27</f>
        <v>1</v>
      </c>
      <c r="AB27" s="1814">
        <f>D27/H27</f>
        <v>1</v>
      </c>
      <c r="AC27" s="1814">
        <f>D27/J27</f>
        <v>1</v>
      </c>
    </row>
    <row r="28" spans="1:29" s="117" customFormat="1" ht="15">
      <c r="A28" s="650"/>
      <c r="B28" s="457"/>
      <c r="C28" s="2703"/>
      <c r="D28" s="449"/>
      <c r="E28" s="2614"/>
      <c r="F28" s="449"/>
      <c r="G28" s="2614"/>
      <c r="H28" s="449"/>
      <c r="I28" s="448"/>
      <c r="J28" s="449"/>
      <c r="K28" s="673"/>
      <c r="L28" s="1134"/>
      <c r="M28" s="1135"/>
      <c r="N28" s="1135"/>
      <c r="O28" s="1136"/>
      <c r="P28" s="3185"/>
      <c r="Q28" s="1798"/>
      <c r="R28" s="769"/>
      <c r="S28" s="770"/>
      <c r="T28" s="769"/>
      <c r="U28" s="770"/>
      <c r="V28" s="769"/>
      <c r="W28" s="770"/>
      <c r="X28" s="771"/>
      <c r="Y28" s="3185"/>
      <c r="Z28" s="55"/>
      <c r="AA28" s="1814">
        <v>1</v>
      </c>
      <c r="AB28" s="1814">
        <v>1</v>
      </c>
      <c r="AC28" s="1814">
        <v>1</v>
      </c>
    </row>
    <row r="29" spans="1:29" s="117" customFormat="1" ht="42.75">
      <c r="A29" s="650"/>
      <c r="B29" s="1386" t="s">
        <v>2652</v>
      </c>
      <c r="C29" s="2610" t="str">
        <f>估价对象房地状况!C22</f>
        <v>估价对象所在区域基础设施水平七通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4"/>
      <c r="M29" s="1135"/>
      <c r="N29" s="1135"/>
      <c r="O29" s="1136"/>
      <c r="P29" s="3185"/>
      <c r="Q29" s="1798" t="str">
        <f>B29</f>
        <v>基础设施水平</v>
      </c>
      <c r="R29" s="769" t="s">
        <v>17</v>
      </c>
      <c r="S29" s="770">
        <f>F29</f>
        <v>100</v>
      </c>
      <c r="T29" s="769" t="s">
        <v>17</v>
      </c>
      <c r="U29" s="770">
        <f>H29</f>
        <v>100</v>
      </c>
      <c r="V29" s="769" t="s">
        <v>17</v>
      </c>
      <c r="W29" s="770">
        <f>J29</f>
        <v>100</v>
      </c>
      <c r="X29" s="771"/>
      <c r="Y29" s="3185"/>
      <c r="Z29" s="55" t="str">
        <f>Q29</f>
        <v>基础设施水平</v>
      </c>
      <c r="AA29" s="1814">
        <f>D29/F29</f>
        <v>1</v>
      </c>
      <c r="AB29" s="1814">
        <f>D29/H29</f>
        <v>1</v>
      </c>
      <c r="AC29" s="1814">
        <f>D29/J29</f>
        <v>1</v>
      </c>
    </row>
    <row r="30" spans="1:29" s="117" customFormat="1" ht="15">
      <c r="A30" s="650"/>
      <c r="B30" s="457"/>
      <c r="C30" s="2703"/>
      <c r="D30" s="449"/>
      <c r="E30" s="2704"/>
      <c r="F30" s="449"/>
      <c r="G30" s="2704"/>
      <c r="H30" s="449"/>
      <c r="I30" s="2704"/>
      <c r="J30" s="449"/>
      <c r="K30" s="673"/>
      <c r="L30" s="1134"/>
      <c r="M30" s="1135"/>
      <c r="N30" s="1135"/>
      <c r="O30" s="1136"/>
      <c r="P30" s="3185"/>
      <c r="Q30" s="1798"/>
      <c r="R30" s="769"/>
      <c r="S30" s="770"/>
      <c r="T30" s="769"/>
      <c r="U30" s="770"/>
      <c r="V30" s="769"/>
      <c r="W30" s="770"/>
      <c r="X30" s="771"/>
      <c r="Y30" s="3185"/>
      <c r="Z30" s="55"/>
      <c r="AA30" s="1814">
        <v>1</v>
      </c>
      <c r="AB30" s="1814">
        <v>1</v>
      </c>
      <c r="AC30" s="1814">
        <v>1</v>
      </c>
    </row>
    <row r="31" spans="1:29" ht="15">
      <c r="A31" s="429"/>
      <c r="B31" s="457" t="s">
        <v>2653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2"/>
      <c r="M31" s="1133"/>
      <c r="N31" s="1133"/>
      <c r="O31" s="1141"/>
      <c r="P31" s="3185"/>
      <c r="Q31" s="1813" t="str">
        <f t="shared" si="8"/>
        <v>临街状况</v>
      </c>
      <c r="R31" s="773" t="s">
        <v>17</v>
      </c>
      <c r="S31" s="774">
        <f t="shared" ref="S31:S45" si="9">F31</f>
        <v>100</v>
      </c>
      <c r="T31" s="773" t="s">
        <v>17</v>
      </c>
      <c r="U31" s="774">
        <f t="shared" ref="U31:U45" si="10">H31</f>
        <v>100</v>
      </c>
      <c r="V31" s="773" t="s">
        <v>17</v>
      </c>
      <c r="W31" s="774">
        <f t="shared" ref="W31:W45" si="11">J31</f>
        <v>100</v>
      </c>
      <c r="X31" s="1816"/>
      <c r="Y31" s="3185"/>
      <c r="Z31" s="1817" t="str">
        <f t="shared" ref="Z31:Z45" si="12">Q31</f>
        <v>临街状况</v>
      </c>
      <c r="AA31" s="1814">
        <f t="shared" si="3"/>
        <v>1</v>
      </c>
      <c r="AB31" s="1814">
        <f t="shared" si="4"/>
        <v>1</v>
      </c>
      <c r="AC31" s="1814">
        <f t="shared" si="5"/>
        <v>1</v>
      </c>
    </row>
    <row r="32" spans="1:29" ht="27">
      <c r="A32" s="429"/>
      <c r="B32" s="1386" t="s">
        <v>2688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2"/>
      <c r="M32" s="1133"/>
      <c r="N32" s="1133"/>
      <c r="O32" s="1141"/>
      <c r="P32" s="3185"/>
      <c r="Q32" s="1813" t="str">
        <f t="shared" si="8"/>
        <v>毗邻道路的类型与等级</v>
      </c>
      <c r="R32" s="773" t="s">
        <v>17</v>
      </c>
      <c r="S32" s="774">
        <f t="shared" si="9"/>
        <v>100</v>
      </c>
      <c r="T32" s="773" t="s">
        <v>17</v>
      </c>
      <c r="U32" s="774">
        <f t="shared" si="10"/>
        <v>100</v>
      </c>
      <c r="V32" s="773" t="s">
        <v>17</v>
      </c>
      <c r="W32" s="774">
        <f t="shared" si="11"/>
        <v>100</v>
      </c>
      <c r="X32" s="1816"/>
      <c r="Y32" s="3185"/>
      <c r="Z32" s="1817" t="str">
        <f t="shared" si="12"/>
        <v>毗邻道路的类型与等级</v>
      </c>
      <c r="AA32" s="1814">
        <f t="shared" si="3"/>
        <v>1</v>
      </c>
      <c r="AB32" s="1814">
        <f t="shared" si="4"/>
        <v>1</v>
      </c>
      <c r="AC32" s="1814">
        <f t="shared" si="5"/>
        <v>1</v>
      </c>
    </row>
    <row r="33" spans="1:29" ht="15">
      <c r="A33" s="429"/>
      <c r="B33" s="457"/>
      <c r="C33" s="448"/>
      <c r="D33" s="449"/>
      <c r="E33" s="2614"/>
      <c r="F33" s="449"/>
      <c r="G33" s="2614"/>
      <c r="H33" s="449"/>
      <c r="I33" s="448"/>
      <c r="J33" s="449"/>
      <c r="K33" s="614"/>
      <c r="L33" s="1142"/>
      <c r="M33" s="1133"/>
      <c r="N33" s="1133"/>
      <c r="O33" s="1141"/>
      <c r="P33" s="3185"/>
      <c r="Q33" s="1813"/>
      <c r="R33" s="773"/>
      <c r="S33" s="774"/>
      <c r="T33" s="773"/>
      <c r="U33" s="774"/>
      <c r="V33" s="773"/>
      <c r="W33" s="774"/>
      <c r="X33" s="1816"/>
      <c r="Y33" s="3185"/>
      <c r="Z33" s="1817"/>
      <c r="AA33" s="1814">
        <v>1</v>
      </c>
      <c r="AB33" s="1814">
        <v>1</v>
      </c>
      <c r="AC33" s="1814">
        <v>1</v>
      </c>
    </row>
    <row r="34" spans="1:29" ht="15">
      <c r="A34" s="429"/>
      <c r="B34" s="423" t="s">
        <v>2747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2"/>
      <c r="M34" s="1133"/>
      <c r="N34" s="1133"/>
      <c r="O34" s="1141"/>
      <c r="P34" s="3185"/>
      <c r="Q34" s="1813" t="str">
        <f t="shared" si="8"/>
        <v>土地级别</v>
      </c>
      <c r="R34" s="773" t="s">
        <v>17</v>
      </c>
      <c r="S34" s="774">
        <f t="shared" si="9"/>
        <v>100</v>
      </c>
      <c r="T34" s="773" t="s">
        <v>17</v>
      </c>
      <c r="U34" s="774">
        <f t="shared" si="10"/>
        <v>100</v>
      </c>
      <c r="V34" s="773" t="s">
        <v>17</v>
      </c>
      <c r="W34" s="774">
        <f t="shared" si="11"/>
        <v>100</v>
      </c>
      <c r="X34" s="1816"/>
      <c r="Y34" s="3185"/>
      <c r="Z34" s="1817" t="str">
        <f t="shared" si="12"/>
        <v>土地级别</v>
      </c>
      <c r="AA34" s="1814">
        <f t="shared" si="3"/>
        <v>1</v>
      </c>
      <c r="AB34" s="1814">
        <f t="shared" si="4"/>
        <v>1</v>
      </c>
      <c r="AC34" s="1814">
        <f t="shared" si="5"/>
        <v>1</v>
      </c>
    </row>
    <row r="35" spans="1:29" ht="15">
      <c r="A35" s="405"/>
      <c r="B35" s="1388">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2"/>
      <c r="M35" s="1133"/>
      <c r="N35" s="1133"/>
      <c r="O35" s="1141"/>
      <c r="P35" s="3185"/>
      <c r="Q35" s="1813">
        <f t="shared" si="8"/>
        <v>111</v>
      </c>
      <c r="R35" s="773" t="s">
        <v>17</v>
      </c>
      <c r="S35" s="774">
        <f t="shared" si="9"/>
        <v>100</v>
      </c>
      <c r="T35" s="773" t="s">
        <v>17</v>
      </c>
      <c r="U35" s="774">
        <f t="shared" si="10"/>
        <v>100</v>
      </c>
      <c r="V35" s="773" t="s">
        <v>17</v>
      </c>
      <c r="W35" s="774">
        <f t="shared" si="11"/>
        <v>100</v>
      </c>
      <c r="X35" s="1816"/>
      <c r="Y35" s="3185"/>
      <c r="Z35" s="1817">
        <f t="shared" si="12"/>
        <v>111</v>
      </c>
      <c r="AA35" s="1814">
        <f t="shared" si="3"/>
        <v>1</v>
      </c>
      <c r="AB35" s="1814">
        <f t="shared" si="4"/>
        <v>1</v>
      </c>
      <c r="AC35" s="1814">
        <f t="shared" si="5"/>
        <v>1</v>
      </c>
    </row>
    <row r="36" spans="1:29" ht="15">
      <c r="A36" s="676"/>
      <c r="B36" s="1389">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2"/>
      <c r="M36" s="1133"/>
      <c r="N36" s="1133"/>
      <c r="O36" s="1141"/>
      <c r="P36" s="3243" t="s">
        <v>2563</v>
      </c>
      <c r="Q36" s="1813">
        <f t="shared" si="8"/>
        <v>111</v>
      </c>
      <c r="R36" s="773" t="s">
        <v>17</v>
      </c>
      <c r="S36" s="774">
        <f t="shared" si="9"/>
        <v>100</v>
      </c>
      <c r="T36" s="773" t="s">
        <v>17</v>
      </c>
      <c r="U36" s="774">
        <f t="shared" si="10"/>
        <v>100</v>
      </c>
      <c r="V36" s="773" t="s">
        <v>17</v>
      </c>
      <c r="W36" s="774">
        <f t="shared" si="11"/>
        <v>100</v>
      </c>
      <c r="X36" s="1816"/>
      <c r="Y36" s="3189" t="s">
        <v>2563</v>
      </c>
      <c r="Z36" s="1817">
        <f t="shared" si="12"/>
        <v>111</v>
      </c>
      <c r="AA36" s="1814">
        <f t="shared" si="3"/>
        <v>1</v>
      </c>
      <c r="AB36" s="1814">
        <f t="shared" si="4"/>
        <v>1</v>
      </c>
      <c r="AC36" s="1814">
        <f t="shared" si="5"/>
        <v>1</v>
      </c>
    </row>
    <row r="37" spans="1:29" s="472" customFormat="1" ht="15.75" thickBot="1">
      <c r="A37" s="677"/>
      <c r="B37" s="1390">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0"/>
      <c r="M37" s="1143"/>
      <c r="N37" s="1143"/>
      <c r="O37" s="1144"/>
      <c r="P37" s="3189"/>
      <c r="Q37" s="1813">
        <f t="shared" si="8"/>
        <v>111</v>
      </c>
      <c r="R37" s="776" t="s">
        <v>17</v>
      </c>
      <c r="S37" s="777">
        <f t="shared" si="9"/>
        <v>100</v>
      </c>
      <c r="T37" s="776" t="s">
        <v>17</v>
      </c>
      <c r="U37" s="777">
        <f t="shared" si="10"/>
        <v>100</v>
      </c>
      <c r="V37" s="776" t="s">
        <v>17</v>
      </c>
      <c r="W37" s="777">
        <f t="shared" si="11"/>
        <v>100</v>
      </c>
      <c r="X37" s="778"/>
      <c r="Y37" s="3189"/>
      <c r="Z37" s="779">
        <f t="shared" si="12"/>
        <v>111</v>
      </c>
      <c r="AA37" s="1814">
        <f t="shared" si="3"/>
        <v>1</v>
      </c>
      <c r="AB37" s="1814">
        <f t="shared" si="4"/>
        <v>1</v>
      </c>
      <c r="AC37" s="1814">
        <f t="shared" si="5"/>
        <v>1</v>
      </c>
    </row>
    <row r="38" spans="1:29" ht="15">
      <c r="A38" s="473" t="s">
        <v>2561</v>
      </c>
      <c r="B38" s="457" t="s">
        <v>2748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2"/>
      <c r="M38" s="1133"/>
      <c r="N38" s="1133"/>
      <c r="O38" s="1141"/>
      <c r="P38" s="3189"/>
      <c r="Q38" s="1813" t="str">
        <f>B38</f>
        <v>宗地面积</v>
      </c>
      <c r="R38" s="773" t="s">
        <v>17</v>
      </c>
      <c r="S38" s="774" t="e">
        <f t="shared" si="9"/>
        <v>#N/A</v>
      </c>
      <c r="T38" s="773" t="s">
        <v>17</v>
      </c>
      <c r="U38" s="774" t="e">
        <f t="shared" si="10"/>
        <v>#N/A</v>
      </c>
      <c r="V38" s="773" t="s">
        <v>17</v>
      </c>
      <c r="W38" s="774" t="e">
        <f t="shared" si="11"/>
        <v>#N/A</v>
      </c>
      <c r="X38" s="1816"/>
      <c r="Y38" s="3189"/>
      <c r="Z38" s="1817" t="str">
        <f t="shared" si="12"/>
        <v>宗地面积</v>
      </c>
      <c r="AA38" s="1814" t="e">
        <f t="shared" si="3"/>
        <v>#N/A</v>
      </c>
      <c r="AB38" s="1814" t="e">
        <f t="shared" si="4"/>
        <v>#N/A</v>
      </c>
      <c r="AC38" s="1814" t="e">
        <f t="shared" si="5"/>
        <v>#N/A</v>
      </c>
    </row>
    <row r="39" spans="1:29" ht="15">
      <c r="A39" s="473"/>
      <c r="B39" s="423" t="s">
        <v>2749</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2"/>
      <c r="M39" s="1133"/>
      <c r="N39" s="1133"/>
      <c r="O39" s="1141"/>
      <c r="P39" s="3189"/>
      <c r="Q39" s="1813" t="str">
        <f t="shared" ref="Q39:Q45" si="13">B39</f>
        <v>宗地形状</v>
      </c>
      <c r="R39" s="773" t="s">
        <v>17</v>
      </c>
      <c r="S39" s="774">
        <f t="shared" si="9"/>
        <v>100</v>
      </c>
      <c r="T39" s="773" t="s">
        <v>17</v>
      </c>
      <c r="U39" s="774">
        <f t="shared" si="10"/>
        <v>100</v>
      </c>
      <c r="V39" s="773" t="s">
        <v>17</v>
      </c>
      <c r="W39" s="774">
        <f t="shared" si="11"/>
        <v>100</v>
      </c>
      <c r="X39" s="1816"/>
      <c r="Y39" s="3189"/>
      <c r="Z39" s="1817" t="str">
        <f t="shared" si="12"/>
        <v>宗地形状</v>
      </c>
      <c r="AA39" s="1814">
        <f t="shared" si="3"/>
        <v>1</v>
      </c>
      <c r="AB39" s="1814">
        <f t="shared" si="4"/>
        <v>1</v>
      </c>
      <c r="AC39" s="1814">
        <f t="shared" si="5"/>
        <v>1</v>
      </c>
    </row>
    <row r="40" spans="1:29" ht="15">
      <c r="A40" s="473"/>
      <c r="B40" s="423" t="s">
        <v>2750</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2"/>
      <c r="M40" s="1133"/>
      <c r="N40" s="1133"/>
      <c r="O40" s="1141"/>
      <c r="P40" s="3189"/>
      <c r="Q40" s="1813" t="str">
        <f t="shared" si="13"/>
        <v>临街宽度及深度</v>
      </c>
      <c r="R40" s="773" t="s">
        <v>17</v>
      </c>
      <c r="S40" s="774">
        <f t="shared" si="9"/>
        <v>100</v>
      </c>
      <c r="T40" s="773" t="s">
        <v>17</v>
      </c>
      <c r="U40" s="774">
        <f t="shared" si="10"/>
        <v>100</v>
      </c>
      <c r="V40" s="773" t="s">
        <v>17</v>
      </c>
      <c r="W40" s="774">
        <f t="shared" si="11"/>
        <v>100</v>
      </c>
      <c r="X40" s="1816"/>
      <c r="Y40" s="3189"/>
      <c r="Z40" s="1817" t="str">
        <f t="shared" si="12"/>
        <v>临街宽度及深度</v>
      </c>
      <c r="AA40" s="1814">
        <f t="shared" si="3"/>
        <v>1</v>
      </c>
      <c r="AB40" s="1814">
        <f t="shared" si="4"/>
        <v>1</v>
      </c>
      <c r="AC40" s="1814">
        <f t="shared" si="5"/>
        <v>1</v>
      </c>
    </row>
    <row r="41" spans="1:29" s="117" customFormat="1" ht="15">
      <c r="A41" s="474"/>
      <c r="B41" s="423" t="s">
        <v>2751</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4"/>
      <c r="M41" s="1135"/>
      <c r="N41" s="1135"/>
      <c r="O41" s="1136"/>
      <c r="P41" s="3189"/>
      <c r="Q41" s="1813" t="str">
        <f t="shared" si="13"/>
        <v>宗地开发程度</v>
      </c>
      <c r="R41" s="769" t="s">
        <v>17</v>
      </c>
      <c r="S41" s="770">
        <f t="shared" si="9"/>
        <v>100</v>
      </c>
      <c r="T41" s="769" t="s">
        <v>17</v>
      </c>
      <c r="U41" s="770">
        <f t="shared" si="10"/>
        <v>100</v>
      </c>
      <c r="V41" s="769" t="s">
        <v>17</v>
      </c>
      <c r="W41" s="770">
        <f t="shared" si="11"/>
        <v>100</v>
      </c>
      <c r="X41" s="771"/>
      <c r="Y41" s="3189"/>
      <c r="Z41" s="55" t="str">
        <f t="shared" si="12"/>
        <v>宗地开发程度</v>
      </c>
      <c r="AA41" s="772">
        <f t="shared" si="3"/>
        <v>1</v>
      </c>
      <c r="AB41" s="772">
        <f t="shared" si="4"/>
        <v>1</v>
      </c>
      <c r="AC41" s="772">
        <f t="shared" si="5"/>
        <v>1</v>
      </c>
    </row>
    <row r="42" spans="1:29" ht="15">
      <c r="A42" s="473"/>
      <c r="B42" s="423" t="s">
        <v>2752</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2"/>
      <c r="M42" s="1133"/>
      <c r="N42" s="1133"/>
      <c r="O42" s="1141"/>
      <c r="P42" s="3189" t="s">
        <v>2563</v>
      </c>
      <c r="Q42" s="1813" t="str">
        <f t="shared" si="13"/>
        <v>工程地质条件</v>
      </c>
      <c r="R42" s="773" t="s">
        <v>17</v>
      </c>
      <c r="S42" s="774">
        <f t="shared" si="9"/>
        <v>100</v>
      </c>
      <c r="T42" s="773" t="s">
        <v>17</v>
      </c>
      <c r="U42" s="774">
        <f t="shared" si="10"/>
        <v>100</v>
      </c>
      <c r="V42" s="773" t="s">
        <v>17</v>
      </c>
      <c r="W42" s="774">
        <f t="shared" si="11"/>
        <v>100</v>
      </c>
      <c r="X42" s="1816"/>
      <c r="Y42" s="3189" t="s">
        <v>2563</v>
      </c>
      <c r="Z42" s="1817" t="str">
        <f t="shared" si="12"/>
        <v>工程地质条件</v>
      </c>
      <c r="AA42" s="1814">
        <f t="shared" si="3"/>
        <v>1</v>
      </c>
      <c r="AB42" s="1814">
        <f t="shared" si="4"/>
        <v>1</v>
      </c>
      <c r="AC42" s="1814">
        <f t="shared" si="5"/>
        <v>1</v>
      </c>
    </row>
    <row r="43" spans="1:29" ht="15">
      <c r="A43" s="473"/>
      <c r="B43" s="1389">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2"/>
      <c r="M43" s="1133"/>
      <c r="N43" s="1133"/>
      <c r="O43" s="1141"/>
      <c r="P43" s="3189"/>
      <c r="Q43" s="1813">
        <f t="shared" si="13"/>
        <v>111</v>
      </c>
      <c r="R43" s="773" t="s">
        <v>17</v>
      </c>
      <c r="S43" s="774">
        <f t="shared" si="9"/>
        <v>100</v>
      </c>
      <c r="T43" s="773" t="s">
        <v>17</v>
      </c>
      <c r="U43" s="774">
        <f t="shared" si="10"/>
        <v>100</v>
      </c>
      <c r="V43" s="773" t="s">
        <v>17</v>
      </c>
      <c r="W43" s="774">
        <f t="shared" si="11"/>
        <v>100</v>
      </c>
      <c r="X43" s="1816"/>
      <c r="Y43" s="3189"/>
      <c r="Z43" s="1817">
        <f t="shared" si="12"/>
        <v>111</v>
      </c>
      <c r="AA43" s="1814">
        <f t="shared" si="3"/>
        <v>1</v>
      </c>
      <c r="AB43" s="1814">
        <f t="shared" si="4"/>
        <v>1</v>
      </c>
      <c r="AC43" s="1814">
        <f t="shared" si="5"/>
        <v>1</v>
      </c>
    </row>
    <row r="44" spans="1:29" ht="15">
      <c r="A44" s="473"/>
      <c r="B44" s="1389">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2"/>
      <c r="M44" s="1133"/>
      <c r="N44" s="1133"/>
      <c r="O44" s="1141"/>
      <c r="P44" s="3189"/>
      <c r="Q44" s="1813">
        <f t="shared" si="13"/>
        <v>111</v>
      </c>
      <c r="R44" s="773" t="s">
        <v>17</v>
      </c>
      <c r="S44" s="774">
        <f t="shared" si="9"/>
        <v>100</v>
      </c>
      <c r="T44" s="773" t="s">
        <v>17</v>
      </c>
      <c r="U44" s="774">
        <f t="shared" si="10"/>
        <v>100</v>
      </c>
      <c r="V44" s="773" t="s">
        <v>17</v>
      </c>
      <c r="W44" s="774">
        <f t="shared" si="11"/>
        <v>100</v>
      </c>
      <c r="X44" s="1816"/>
      <c r="Y44" s="3189"/>
      <c r="Z44" s="1817">
        <f t="shared" si="12"/>
        <v>111</v>
      </c>
      <c r="AA44" s="1814">
        <f t="shared" si="3"/>
        <v>1</v>
      </c>
      <c r="AB44" s="1814">
        <f t="shared" si="4"/>
        <v>1</v>
      </c>
      <c r="AC44" s="1814">
        <f t="shared" si="5"/>
        <v>1</v>
      </c>
    </row>
    <row r="45" spans="1:29" s="472" customFormat="1" ht="15.75" thickBot="1">
      <c r="A45" s="469"/>
      <c r="B45" s="1389">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0"/>
      <c r="M45" s="1143"/>
      <c r="N45" s="1143"/>
      <c r="O45" s="1144"/>
      <c r="P45" s="3189"/>
      <c r="Q45" s="1813">
        <f t="shared" si="13"/>
        <v>111</v>
      </c>
      <c r="R45" s="776" t="s">
        <v>17</v>
      </c>
      <c r="S45" s="777">
        <f t="shared" si="9"/>
        <v>100</v>
      </c>
      <c r="T45" s="776" t="s">
        <v>17</v>
      </c>
      <c r="U45" s="777">
        <f t="shared" si="10"/>
        <v>100</v>
      </c>
      <c r="V45" s="776" t="s">
        <v>17</v>
      </c>
      <c r="W45" s="777">
        <f t="shared" si="11"/>
        <v>100</v>
      </c>
      <c r="X45" s="778"/>
      <c r="Y45" s="3189"/>
      <c r="Z45" s="779">
        <f t="shared" si="12"/>
        <v>111</v>
      </c>
      <c r="AA45" s="1814">
        <f t="shared" si="3"/>
        <v>1</v>
      </c>
      <c r="AB45" s="1814">
        <f t="shared" si="4"/>
        <v>1</v>
      </c>
      <c r="AC45" s="1814">
        <f t="shared" si="5"/>
        <v>1</v>
      </c>
    </row>
    <row r="46" spans="1:29" ht="15">
      <c r="A46" s="480" t="s">
        <v>2717</v>
      </c>
      <c r="B46" s="2707" t="s">
        <v>2753</v>
      </c>
      <c r="C46" s="683" t="s">
        <v>1</v>
      </c>
      <c r="D46" s="482"/>
      <c r="E46" s="483"/>
      <c r="F46" s="484"/>
      <c r="G46" s="485"/>
      <c r="H46" s="486"/>
      <c r="I46" s="483"/>
      <c r="J46" s="486"/>
      <c r="K46" s="782"/>
      <c r="L46" s="1145"/>
      <c r="M46" s="1146"/>
      <c r="N46" s="1133"/>
      <c r="O46" s="1146"/>
      <c r="P46" s="3182" t="str">
        <f>A46</f>
        <v>成交单价</v>
      </c>
      <c r="Q46" s="3182"/>
      <c r="R46" s="3177">
        <f>E46</f>
        <v>0</v>
      </c>
      <c r="S46" s="3177"/>
      <c r="T46" s="3177">
        <f>G46</f>
        <v>0</v>
      </c>
      <c r="U46" s="3177"/>
      <c r="V46" s="3177">
        <f>I46</f>
        <v>0</v>
      </c>
      <c r="W46" s="3177"/>
      <c r="X46" s="758"/>
      <c r="Y46" s="780"/>
      <c r="Z46" s="758"/>
      <c r="AA46" s="758"/>
      <c r="AB46" s="758"/>
      <c r="AC46" s="758"/>
    </row>
    <row r="47" spans="1:29" ht="15.75" thickBot="1">
      <c r="A47" s="487" t="s">
        <v>2666</v>
      </c>
      <c r="B47" s="684"/>
      <c r="C47" s="491" t="e">
        <f>R48</f>
        <v>#DIV/0!</v>
      </c>
      <c r="D47" s="490"/>
      <c r="E47" s="491" t="e">
        <f>R47</f>
        <v>#DIV/0!</v>
      </c>
      <c r="F47" s="492"/>
      <c r="G47" s="489" t="e">
        <f>T47</f>
        <v>#DIV/0!</v>
      </c>
      <c r="H47" s="490"/>
      <c r="I47" s="491" t="e">
        <f>V47</f>
        <v>#DIV/0!</v>
      </c>
      <c r="J47" s="490"/>
      <c r="K47" s="783"/>
      <c r="L47" s="1145"/>
      <c r="M47" s="1146"/>
      <c r="N47" s="1146"/>
      <c r="O47" s="1146"/>
      <c r="P47" s="3182" t="str">
        <f>A47</f>
        <v>比较价值（元/平方米）</v>
      </c>
      <c r="Q47" s="3182"/>
      <c r="R47" s="3244" t="e">
        <f>ROUND(PRODUCT(R46,AA7:AA45),0)</f>
        <v>#DIV/0!</v>
      </c>
      <c r="S47" s="3244"/>
      <c r="T47" s="3244" t="e">
        <f>ROUND(PRODUCT(T46,AB7:AB45),0)</f>
        <v>#DIV/0!</v>
      </c>
      <c r="U47" s="3244"/>
      <c r="V47" s="3244" t="e">
        <f>ROUND(PRODUCT(V46,AC7:AC45),0)</f>
        <v>#DIV/0!</v>
      </c>
      <c r="W47" s="3244"/>
      <c r="X47" s="758"/>
      <c r="Y47" s="758"/>
      <c r="Z47" s="758"/>
      <c r="AA47" s="758"/>
      <c r="AB47" s="758"/>
      <c r="AC47" s="758"/>
    </row>
    <row r="48" spans="1:29" ht="15.75" thickBot="1">
      <c r="A48" s="493" t="s">
        <v>2754</v>
      </c>
      <c r="B48" s="494"/>
      <c r="C48" s="495" t="e">
        <f>R48</f>
        <v>#DIV/0!</v>
      </c>
      <c r="D48" s="495"/>
      <c r="E48" s="495"/>
      <c r="F48" s="495"/>
      <c r="G48" s="495"/>
      <c r="H48" s="495"/>
      <c r="I48" s="495"/>
      <c r="J48" s="495"/>
      <c r="K48" s="784"/>
      <c r="L48" s="1145"/>
      <c r="M48" s="1146"/>
      <c r="N48" s="1146"/>
      <c r="O48" s="1146"/>
      <c r="P48" s="3179" t="str">
        <f>A48</f>
        <v>估价对象XX用房的比较价值（楼面单价，元/平方米）</v>
      </c>
      <c r="Q48" s="3180"/>
      <c r="R48" s="3245" t="e">
        <f>ROUND(AVERAGE(R47:V47),0)</f>
        <v>#DIV/0!</v>
      </c>
      <c r="S48" s="3245"/>
      <c r="T48" s="3245"/>
      <c r="U48" s="3245"/>
      <c r="V48" s="3245"/>
      <c r="W48" s="324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8" t="s">
        <v>2668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7"/>
      <c r="L51" s="1108"/>
      <c r="M51" s="1146"/>
      <c r="N51" s="1146"/>
      <c r="O51" s="1146"/>
    </row>
    <row r="52" spans="1:15" ht="13.5" customHeight="1">
      <c r="A52" s="1146"/>
      <c r="B52" s="1146"/>
      <c r="C52" s="498" t="s">
        <v>2669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7"/>
      <c r="L52" s="1108"/>
      <c r="M52" s="1146"/>
      <c r="N52" s="1146"/>
      <c r="O52" s="1146"/>
    </row>
    <row r="53" spans="1:15" s="503" customFormat="1" ht="13.5" customHeight="1">
      <c r="A53" s="1147"/>
      <c r="B53" s="1147"/>
      <c r="C53" s="498" t="s">
        <v>2670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0"/>
      <c r="L53" s="1151"/>
      <c r="M53" s="1147"/>
      <c r="N53" s="1147"/>
      <c r="O53" s="1147"/>
    </row>
    <row r="54" spans="1:15" s="503" customFormat="1" ht="15" thickBot="1">
      <c r="A54" s="1147"/>
      <c r="B54" s="1148"/>
      <c r="C54" s="761"/>
      <c r="D54" s="759"/>
      <c r="E54" s="759"/>
      <c r="F54" s="759"/>
      <c r="G54" s="759"/>
      <c r="H54" s="759"/>
      <c r="I54" s="759"/>
      <c r="J54" s="759"/>
      <c r="K54" s="1150"/>
      <c r="L54" s="1151"/>
      <c r="M54" s="1147"/>
      <c r="N54" s="1147"/>
      <c r="O54" s="1147"/>
    </row>
    <row r="55" spans="1:15" ht="27" customHeight="1">
      <c r="A55" s="685" t="s">
        <v>2755</v>
      </c>
      <c r="B55" s="686" t="s">
        <v>2756</v>
      </c>
      <c r="C55" s="2708" t="s">
        <v>2757</v>
      </c>
      <c r="D55" s="2709" t="s">
        <v>2758</v>
      </c>
      <c r="E55" s="687" t="s">
        <v>2759</v>
      </c>
      <c r="F55" s="1109" t="s">
        <v>2760</v>
      </c>
      <c r="G55" s="3165" t="s">
        <v>2761</v>
      </c>
      <c r="H55" s="3246"/>
      <c r="I55" s="144" t="s">
        <v>2762</v>
      </c>
      <c r="J55" s="2710">
        <f>项目基本情况!F35</f>
        <v>0</v>
      </c>
      <c r="K55" s="2711" t="s">
        <v>2763</v>
      </c>
      <c r="L55" s="1108"/>
      <c r="M55" s="1146"/>
      <c r="N55" s="1146"/>
      <c r="O55" s="1146"/>
    </row>
    <row r="56" spans="1:15" s="693" customFormat="1">
      <c r="A56" s="689" t="s">
        <v>2764</v>
      </c>
      <c r="B56" s="690" t="e">
        <f>C48</f>
        <v>#DIV/0!</v>
      </c>
      <c r="C56" s="691">
        <v>1</v>
      </c>
      <c r="D56" s="1165">
        <v>1</v>
      </c>
      <c r="E56" s="691">
        <f>'数据-汇总表'!E8+'数据-汇总表'!E9</f>
        <v>88.84</v>
      </c>
      <c r="F56" s="1105" t="e">
        <f t="shared" ref="F56:F65" si="14">ROUND(B56*E56/10000,0)</f>
        <v>#DIV/0!</v>
      </c>
      <c r="G56" s="3164"/>
      <c r="H56" s="3182"/>
      <c r="I56" s="1110">
        <v>1</v>
      </c>
      <c r="J56" s="1113">
        <v>1</v>
      </c>
      <c r="K56" s="1147"/>
      <c r="L56" s="943"/>
      <c r="M56" s="943"/>
      <c r="N56" s="943"/>
      <c r="O56" s="943"/>
    </row>
    <row r="57" spans="1:15" s="693" customFormat="1">
      <c r="A57" s="694" t="s">
        <v>2765</v>
      </c>
      <c r="B57" s="263" t="e">
        <f>ROUND($C$48*C57*D57,0)</f>
        <v>#DIV/0!</v>
      </c>
      <c r="C57" s="201">
        <f t="shared" ref="C57:C65" si="15">IF($C$55="北京市系数",I57,J57)</f>
        <v>0</v>
      </c>
      <c r="D57" s="1166">
        <v>0.25</v>
      </c>
      <c r="E57" s="695"/>
      <c r="F57" s="1105" t="e">
        <f t="shared" si="14"/>
        <v>#DIV/0!</v>
      </c>
      <c r="G57" s="3247" t="s">
        <v>2766</v>
      </c>
      <c r="H57" s="1106">
        <f>项目基本情况!B37</f>
        <v>0</v>
      </c>
      <c r="I57" s="1110">
        <f>SUMIF(修正!A45:A56,H57,修正!B45:B56)</f>
        <v>0</v>
      </c>
      <c r="J57" s="1114"/>
      <c r="K57" s="1146"/>
      <c r="L57" s="943"/>
      <c r="M57" s="943"/>
      <c r="N57" s="943"/>
      <c r="O57" s="943"/>
    </row>
    <row r="58" spans="1:15" s="693" customFormat="1">
      <c r="A58" s="694" t="s">
        <v>2767</v>
      </c>
      <c r="B58" s="263" t="e">
        <f t="shared" ref="B58:B65" si="16">ROUND($C$48*C58*D58,0)</f>
        <v>#DIV/0!</v>
      </c>
      <c r="C58" s="201">
        <f t="shared" si="15"/>
        <v>0</v>
      </c>
      <c r="D58" s="1166">
        <v>0.25</v>
      </c>
      <c r="E58" s="695"/>
      <c r="F58" s="1105" t="e">
        <f t="shared" si="14"/>
        <v>#DIV/0!</v>
      </c>
      <c r="G58" s="3247"/>
      <c r="H58" s="1106">
        <f>项目基本情况!B37</f>
        <v>0</v>
      </c>
      <c r="I58" s="1110">
        <f>SUMIF(修正!A45:A56,H58,修正!C45:C56)</f>
        <v>0</v>
      </c>
      <c r="J58" s="1114"/>
      <c r="K58" s="1147"/>
      <c r="L58" s="943"/>
      <c r="M58" s="943"/>
      <c r="N58" s="943"/>
      <c r="O58" s="943"/>
    </row>
    <row r="59" spans="1:15" s="693" customFormat="1">
      <c r="A59" s="694" t="s">
        <v>2768</v>
      </c>
      <c r="B59" s="263" t="e">
        <f t="shared" si="16"/>
        <v>#DIV/0!</v>
      </c>
      <c r="C59" s="201">
        <f t="shared" si="15"/>
        <v>0</v>
      </c>
      <c r="D59" s="1166">
        <v>0.25</v>
      </c>
      <c r="E59" s="695"/>
      <c r="F59" s="1105" t="e">
        <f t="shared" si="14"/>
        <v>#DIV/0!</v>
      </c>
      <c r="G59" s="3247"/>
      <c r="H59" s="1106">
        <f>项目基本情况!B37</f>
        <v>0</v>
      </c>
      <c r="I59" s="1110">
        <f>SUMIF(修正!A45:A56,H59,修正!D45:D56)</f>
        <v>0</v>
      </c>
      <c r="J59" s="1114"/>
      <c r="K59" s="1146"/>
      <c r="L59" s="943"/>
      <c r="M59" s="943"/>
      <c r="N59" s="943"/>
      <c r="O59" s="943"/>
    </row>
    <row r="60" spans="1:15" s="693" customFormat="1">
      <c r="A60" s="694" t="s">
        <v>2769</v>
      </c>
      <c r="B60" s="263" t="e">
        <f t="shared" si="16"/>
        <v>#DIV/0!</v>
      </c>
      <c r="C60" s="201">
        <f t="shared" si="15"/>
        <v>0</v>
      </c>
      <c r="D60" s="1166">
        <v>0.25</v>
      </c>
      <c r="E60" s="695"/>
      <c r="F60" s="1105" t="e">
        <f t="shared" si="14"/>
        <v>#DIV/0!</v>
      </c>
      <c r="G60" s="3247"/>
      <c r="H60" s="1106">
        <f>项目基本情况!B37</f>
        <v>0</v>
      </c>
      <c r="I60" s="1110">
        <f>SUMIF(修正!A45:A56,H60,修正!E45:E56)</f>
        <v>0</v>
      </c>
      <c r="J60" s="1114"/>
      <c r="K60" s="1147"/>
      <c r="L60" s="943"/>
      <c r="M60" s="943"/>
      <c r="N60" s="943"/>
      <c r="O60" s="943"/>
    </row>
    <row r="61" spans="1:15" s="693" customFormat="1">
      <c r="A61" s="694" t="s">
        <v>2770</v>
      </c>
      <c r="B61" s="263" t="e">
        <f t="shared" si="16"/>
        <v>#DIV/0!</v>
      </c>
      <c r="C61" s="201">
        <f t="shared" si="15"/>
        <v>0</v>
      </c>
      <c r="D61" s="1166">
        <v>0.25</v>
      </c>
      <c r="E61" s="262">
        <f>'数据-汇总表'!E11</f>
        <v>0</v>
      </c>
      <c r="F61" s="1105" t="e">
        <f t="shared" si="14"/>
        <v>#DIV/0!</v>
      </c>
      <c r="G61" s="2712" t="s">
        <v>2771</v>
      </c>
      <c r="H61" s="1106">
        <f>项目基本情况!C37</f>
        <v>0</v>
      </c>
      <c r="I61" s="1110">
        <f>SUMIF(修正!A45:A56,H61,修正!F45:F56)</f>
        <v>0</v>
      </c>
      <c r="J61" s="1114"/>
      <c r="K61" s="1146"/>
      <c r="L61" s="943"/>
      <c r="M61" s="943"/>
      <c r="N61" s="943"/>
      <c r="O61" s="943"/>
    </row>
    <row r="62" spans="1:15" s="693" customFormat="1">
      <c r="A62" s="694" t="s">
        <v>2772</v>
      </c>
      <c r="B62" s="263" t="e">
        <f t="shared" si="16"/>
        <v>#DIV/0!</v>
      </c>
      <c r="C62" s="201">
        <f t="shared" si="15"/>
        <v>0</v>
      </c>
      <c r="D62" s="1166">
        <v>0.25</v>
      </c>
      <c r="E62" s="262">
        <f>'数据-汇总表'!E12</f>
        <v>0</v>
      </c>
      <c r="F62" s="1105" t="e">
        <f t="shared" si="14"/>
        <v>#DIV/0!</v>
      </c>
      <c r="G62" s="1111" t="s">
        <v>2773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3" customFormat="1">
      <c r="A63" s="694" t="s">
        <v>2774</v>
      </c>
      <c r="B63" s="263" t="e">
        <f t="shared" si="16"/>
        <v>#DIV/0!</v>
      </c>
      <c r="C63" s="201">
        <f t="shared" si="15"/>
        <v>0</v>
      </c>
      <c r="D63" s="1166">
        <v>0.25</v>
      </c>
      <c r="E63" s="262">
        <f>'数据-汇总表'!E13</f>
        <v>0</v>
      </c>
      <c r="F63" s="1105" t="e">
        <f t="shared" si="14"/>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3" customFormat="1">
      <c r="A64" s="694" t="s">
        <v>2776</v>
      </c>
      <c r="B64" s="263" t="e">
        <f t="shared" si="16"/>
        <v>#DIV/0!</v>
      </c>
      <c r="C64" s="201">
        <f t="shared" si="15"/>
        <v>0</v>
      </c>
      <c r="D64" s="1166">
        <v>0.25</v>
      </c>
      <c r="E64" s="262">
        <f>'数据-汇总表'!E14</f>
        <v>0</v>
      </c>
      <c r="F64" s="1105" t="e">
        <f t="shared" si="14"/>
        <v>#DIV/0!</v>
      </c>
      <c r="G64" s="2712" t="s">
        <v>2766</v>
      </c>
      <c r="H64" s="1106">
        <f>项目基本情况!B37</f>
        <v>0</v>
      </c>
      <c r="I64" s="1110">
        <f>SUMIF(修正!A45:A56,H64,修正!H45:H56)</f>
        <v>0</v>
      </c>
      <c r="J64" s="1114"/>
      <c r="K64" s="1147"/>
      <c r="L64" s="943"/>
      <c r="M64" s="943"/>
      <c r="N64" s="943"/>
      <c r="O64" s="943"/>
    </row>
    <row r="65" spans="1:17" s="693" customFormat="1" ht="15" thickBot="1">
      <c r="A65" s="694" t="s">
        <v>2777</v>
      </c>
      <c r="B65" s="263" t="e">
        <f t="shared" si="16"/>
        <v>#DIV/0!</v>
      </c>
      <c r="C65" s="201">
        <f t="shared" si="15"/>
        <v>0</v>
      </c>
      <c r="D65" s="1166">
        <v>0.25</v>
      </c>
      <c r="E65" s="262">
        <f>'数据-汇总表'!E15</f>
        <v>0</v>
      </c>
      <c r="F65" s="1105" t="e">
        <f t="shared" si="14"/>
        <v>#DIV/0!</v>
      </c>
      <c r="G65" s="2713" t="s">
        <v>2771</v>
      </c>
      <c r="H65" s="1116">
        <f>项目基本情况!C37</f>
        <v>0</v>
      </c>
      <c r="I65" s="1112">
        <f>SUMIF(修正!A45:A56,H65,修正!H45:H56)</f>
        <v>0</v>
      </c>
      <c r="J65" s="1115"/>
      <c r="K65" s="1146"/>
      <c r="L65" s="943"/>
      <c r="M65" s="943"/>
      <c r="N65" s="943"/>
      <c r="O65" s="943"/>
    </row>
    <row r="66" spans="1:17" s="693" customFormat="1" ht="13.5" thickBot="1">
      <c r="A66" s="696" t="s">
        <v>2778</v>
      </c>
      <c r="B66" s="697" t="s">
        <v>28</v>
      </c>
      <c r="C66" s="697" t="s">
        <v>29</v>
      </c>
      <c r="D66" s="697" t="s">
        <v>1029</v>
      </c>
      <c r="E66" s="697">
        <f>IF(B46="楼面地价",SUM(E56:E65),'数据-汇总表'!D3)</f>
        <v>88.84</v>
      </c>
      <c r="F66" s="698"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2017-11-1</v>
      </c>
      <c r="D68" s="760">
        <f>EDATE(C68,-3)</f>
        <v>42948</v>
      </c>
      <c r="E68" s="760">
        <f>EDATE(D68,-3)</f>
        <v>42856</v>
      </c>
      <c r="F68" s="760">
        <f t="shared" ref="F68:O68" si="17">EDATE(E68,-3)</f>
        <v>42767</v>
      </c>
      <c r="G68" s="760">
        <f t="shared" si="17"/>
        <v>42675</v>
      </c>
      <c r="H68" s="760">
        <f t="shared" si="17"/>
        <v>42583</v>
      </c>
      <c r="I68" s="760">
        <f t="shared" si="17"/>
        <v>42491</v>
      </c>
      <c r="J68" s="760">
        <f t="shared" si="17"/>
        <v>42401</v>
      </c>
      <c r="K68" s="760">
        <f t="shared" si="17"/>
        <v>42309</v>
      </c>
      <c r="L68" s="760">
        <f t="shared" si="17"/>
        <v>42217</v>
      </c>
      <c r="M68" s="760">
        <f t="shared" si="17"/>
        <v>42125</v>
      </c>
      <c r="N68" s="760">
        <f t="shared" si="17"/>
        <v>42036</v>
      </c>
      <c r="O68" s="760">
        <f t="shared" si="17"/>
        <v>41944</v>
      </c>
    </row>
    <row r="69" spans="1:17" ht="21.75" thickBot="1">
      <c r="A69" s="762" t="s">
        <v>2671</v>
      </c>
      <c r="B69" s="758"/>
      <c r="C69" s="763"/>
      <c r="D69" s="763"/>
      <c r="E69" s="763"/>
      <c r="F69" s="764"/>
      <c r="G69" s="764"/>
      <c r="H69" s="763"/>
      <c r="I69" s="763"/>
      <c r="J69" s="1161"/>
      <c r="K69" s="1162"/>
      <c r="L69" s="1163"/>
      <c r="M69" s="1161"/>
      <c r="N69" s="1161"/>
      <c r="O69" s="1161"/>
      <c r="P69" s="504"/>
      <c r="Q69" s="505"/>
    </row>
    <row r="70" spans="1:17" s="509" customFormat="1" ht="15">
      <c r="A70" s="2714" t="s">
        <v>2779</v>
      </c>
      <c r="B70" s="1361"/>
      <c r="C70" s="1575" t="str">
        <f>YEAR(C68)&amp;"-"&amp;ROUNDUP(MONTH(C68)/3,0)</f>
        <v>2017-4</v>
      </c>
      <c r="D70" s="1575" t="str">
        <f>YEAR(D68)&amp;"-"&amp;ROUNDUP(MONTH(D68)/3,0)</f>
        <v>2017-3</v>
      </c>
      <c r="E70" s="1575" t="str">
        <f t="shared" ref="E70:O70" si="18">YEAR(E68)&amp;"-"&amp;ROUNDUP(MONTH(E68)/3,0)</f>
        <v>2017-2</v>
      </c>
      <c r="F70" s="1575" t="str">
        <f t="shared" si="18"/>
        <v>2017-1</v>
      </c>
      <c r="G70" s="1575" t="str">
        <f t="shared" si="18"/>
        <v>2016-4</v>
      </c>
      <c r="H70" s="1575" t="str">
        <f t="shared" si="18"/>
        <v>2016-3</v>
      </c>
      <c r="I70" s="1575" t="str">
        <f t="shared" si="18"/>
        <v>2016-2</v>
      </c>
      <c r="J70" s="1575" t="str">
        <f t="shared" si="18"/>
        <v>2016-1</v>
      </c>
      <c r="K70" s="1575" t="str">
        <f t="shared" si="18"/>
        <v>2015-4</v>
      </c>
      <c r="L70" s="1575" t="str">
        <f t="shared" si="18"/>
        <v>2015-3</v>
      </c>
      <c r="M70" s="1575" t="str">
        <f t="shared" si="18"/>
        <v>2015-2</v>
      </c>
      <c r="N70" s="1575" t="str">
        <f t="shared" si="18"/>
        <v>2015-1</v>
      </c>
      <c r="O70" s="1575" t="str">
        <f t="shared" si="18"/>
        <v>2014-4</v>
      </c>
      <c r="P70" s="508"/>
    </row>
    <row r="71" spans="1:17" s="117" customFormat="1" ht="30" customHeight="1">
      <c r="A71" s="2715" t="s">
        <v>2780</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0"/>
      <c r="N71" s="596"/>
      <c r="O71" s="1571"/>
      <c r="P71" s="505"/>
    </row>
    <row r="72" spans="1:17" s="117" customFormat="1" ht="15.75" thickBot="1">
      <c r="A72" s="516" t="s">
        <v>2582</v>
      </c>
      <c r="B72" s="517"/>
      <c r="C72" s="518"/>
      <c r="D72" s="519"/>
      <c r="E72" s="519"/>
      <c r="F72" s="519"/>
      <c r="G72" s="519"/>
      <c r="H72" s="519"/>
      <c r="I72" s="519"/>
      <c r="J72" s="519"/>
      <c r="K72" s="519"/>
      <c r="L72" s="519"/>
      <c r="M72" s="520"/>
      <c r="N72" s="519"/>
      <c r="O72" s="1164"/>
      <c r="P72" s="505"/>
      <c r="Q72" s="505"/>
    </row>
    <row r="73" spans="1:17" s="117" customFormat="1" ht="15">
      <c r="A73" s="522" t="s">
        <v>2548</v>
      </c>
      <c r="B73" s="511"/>
      <c r="C73" s="523" t="s">
        <v>2649</v>
      </c>
      <c r="D73" s="524"/>
      <c r="E73" s="524"/>
      <c r="F73" s="524"/>
      <c r="G73" s="524"/>
      <c r="H73" s="524"/>
      <c r="I73" s="524"/>
      <c r="J73" s="524"/>
      <c r="K73" s="524"/>
      <c r="L73" s="525"/>
      <c r="M73" s="526"/>
      <c r="N73" s="1153"/>
      <c r="O73" s="1153"/>
      <c r="P73" s="527"/>
      <c r="Q73" s="505"/>
    </row>
    <row r="74" spans="1:17" s="117" customFormat="1" ht="15.75" thickBot="1">
      <c r="A74" s="522"/>
      <c r="B74" s="511"/>
      <c r="C74" s="640">
        <v>100</v>
      </c>
      <c r="D74" s="513"/>
      <c r="E74" s="513"/>
      <c r="F74" s="513"/>
      <c r="G74" s="513"/>
      <c r="H74" s="513"/>
      <c r="I74" s="513"/>
      <c r="J74" s="513"/>
      <c r="K74" s="513"/>
      <c r="L74" s="513"/>
      <c r="M74" s="515"/>
      <c r="N74" s="1153"/>
      <c r="O74" s="1153"/>
      <c r="P74" s="505"/>
      <c r="Q74" s="505"/>
    </row>
    <row r="75" spans="1:17">
      <c r="A75" s="528" t="s">
        <v>2585</v>
      </c>
      <c r="B75" s="529" t="s">
        <v>2552</v>
      </c>
      <c r="C75" s="531"/>
      <c r="D75" s="531"/>
      <c r="E75" s="531"/>
      <c r="F75" s="531"/>
      <c r="G75" s="531"/>
      <c r="H75" s="531"/>
      <c r="I75" s="531"/>
      <c r="J75" s="531"/>
      <c r="K75" s="532"/>
      <c r="L75" s="533"/>
      <c r="M75" s="534"/>
      <c r="N75" s="1154"/>
      <c r="O75" s="1154"/>
      <c r="P75" s="45"/>
      <c r="Q75" s="505"/>
    </row>
    <row r="76" spans="1:17" ht="15.75" thickBot="1">
      <c r="A76" s="535"/>
      <c r="B76" s="536"/>
      <c r="C76" s="537"/>
      <c r="D76" s="537"/>
      <c r="E76" s="537"/>
      <c r="F76" s="537"/>
      <c r="G76" s="537"/>
      <c r="H76" s="537"/>
      <c r="I76" s="537"/>
      <c r="J76" s="537"/>
      <c r="K76" s="537"/>
      <c r="L76" s="537"/>
      <c r="M76" s="538"/>
      <c r="N76" s="1155"/>
      <c r="O76" s="1155"/>
      <c r="P76" s="45"/>
      <c r="Q76" s="505"/>
    </row>
    <row r="77" spans="1:17" ht="27.75" thickTop="1">
      <c r="A77" s="535"/>
      <c r="B77" s="539" t="s">
        <v>2555</v>
      </c>
      <c r="C77" s="540"/>
      <c r="D77" s="540"/>
      <c r="E77" s="540"/>
      <c r="F77" s="540"/>
      <c r="G77" s="540"/>
      <c r="H77" s="540"/>
      <c r="I77" s="540"/>
      <c r="J77" s="540"/>
      <c r="K77" s="541"/>
      <c r="L77" s="542"/>
      <c r="M77" s="543"/>
      <c r="N77" s="1154"/>
      <c r="O77" s="1154"/>
      <c r="P77" s="45"/>
      <c r="Q77" s="505"/>
    </row>
    <row r="78" spans="1:17" ht="15.75" thickBot="1">
      <c r="A78" s="535"/>
      <c r="B78" s="544"/>
      <c r="C78" s="545"/>
      <c r="D78" s="545"/>
      <c r="E78" s="545"/>
      <c r="F78" s="545"/>
      <c r="G78" s="545"/>
      <c r="H78" s="545"/>
      <c r="I78" s="545"/>
      <c r="J78" s="545"/>
      <c r="K78" s="545"/>
      <c r="L78" s="545"/>
      <c r="M78" s="546"/>
      <c r="N78" s="1155"/>
      <c r="O78" s="1155"/>
      <c r="P78" s="45"/>
      <c r="Q78" s="505"/>
    </row>
    <row r="79" spans="1:17" ht="15.75" thickTop="1">
      <c r="A79" s="535"/>
      <c r="B79" s="547" t="s">
        <v>2556</v>
      </c>
      <c r="C79" s="548" t="str">
        <f>C80&amp;"（含）"&amp;"-"&amp;D80</f>
        <v>（含）-</v>
      </c>
      <c r="D79" s="548" t="str">
        <f t="shared" ref="D79:L79" si="19">D80&amp;"（含）"&amp;"-"&amp;E80</f>
        <v>（含）-</v>
      </c>
      <c r="E79" s="548" t="str">
        <f t="shared" si="19"/>
        <v>（含）-</v>
      </c>
      <c r="F79" s="548" t="str">
        <f t="shared" si="19"/>
        <v>（含）-</v>
      </c>
      <c r="G79" s="548" t="str">
        <f t="shared" si="19"/>
        <v>（含）-</v>
      </c>
      <c r="H79" s="548" t="str">
        <f t="shared" si="19"/>
        <v>（含）-</v>
      </c>
      <c r="I79" s="548" t="str">
        <f t="shared" si="19"/>
        <v>（含）-</v>
      </c>
      <c r="J79" s="548" t="str">
        <f t="shared" si="19"/>
        <v>（含）-</v>
      </c>
      <c r="K79" s="548" t="str">
        <f t="shared" si="19"/>
        <v>（含）-</v>
      </c>
      <c r="L79" s="548" t="str">
        <f t="shared" si="19"/>
        <v>（含）-</v>
      </c>
      <c r="M79" s="449" t="str">
        <f>M80&amp;"（含）"&amp;"-"&amp;P80</f>
        <v>（含）-</v>
      </c>
      <c r="N79" s="1155"/>
      <c r="O79" s="1155"/>
      <c r="P79" s="45"/>
      <c r="Q79" s="505"/>
    </row>
    <row r="80" spans="1:17" ht="15">
      <c r="A80" s="535"/>
      <c r="B80" s="549"/>
      <c r="C80" s="550"/>
      <c r="D80" s="550"/>
      <c r="E80" s="550"/>
      <c r="F80" s="550"/>
      <c r="G80" s="550"/>
      <c r="H80" s="550"/>
      <c r="I80" s="550"/>
      <c r="J80" s="550"/>
      <c r="K80" s="551"/>
      <c r="L80" s="552"/>
      <c r="M80" s="553"/>
      <c r="N80" s="1154"/>
      <c r="O80" s="1154"/>
      <c r="P80" s="45"/>
      <c r="Q80" s="505"/>
    </row>
    <row r="81" spans="1:17" ht="15.75" thickBot="1">
      <c r="A81" s="535"/>
      <c r="B81" s="536"/>
      <c r="C81" s="545">
        <v>100</v>
      </c>
      <c r="D81" s="545">
        <f t="shared" ref="D81:M81" si="20">IF($B$46="单位面积地价",C81+$K11,C81-$K11)</f>
        <v>100</v>
      </c>
      <c r="E81" s="545">
        <f t="shared" si="20"/>
        <v>100</v>
      </c>
      <c r="F81" s="545">
        <f t="shared" si="20"/>
        <v>100</v>
      </c>
      <c r="G81" s="545">
        <f t="shared" si="20"/>
        <v>100</v>
      </c>
      <c r="H81" s="545">
        <f t="shared" si="20"/>
        <v>100</v>
      </c>
      <c r="I81" s="545">
        <f t="shared" si="20"/>
        <v>100</v>
      </c>
      <c r="J81" s="545">
        <f t="shared" si="20"/>
        <v>100</v>
      </c>
      <c r="K81" s="545">
        <f t="shared" si="20"/>
        <v>100</v>
      </c>
      <c r="L81" s="545">
        <f t="shared" si="20"/>
        <v>100</v>
      </c>
      <c r="M81" s="545">
        <f t="shared" si="20"/>
        <v>100</v>
      </c>
      <c r="N81" s="1155"/>
      <c r="O81" s="1155"/>
      <c r="P81" s="45"/>
      <c r="Q81" s="505"/>
    </row>
    <row r="82" spans="1:17" s="472" customFormat="1" ht="15.75" thickTop="1">
      <c r="A82" s="554"/>
      <c r="B82" s="539" t="str">
        <f>B12</f>
        <v>配建</v>
      </c>
      <c r="C82" s="555"/>
      <c r="D82" s="555"/>
      <c r="E82" s="555"/>
      <c r="F82" s="555"/>
      <c r="G82" s="555"/>
      <c r="H82" s="556"/>
      <c r="I82" s="556"/>
      <c r="J82" s="556"/>
      <c r="K82" s="556"/>
      <c r="L82" s="557"/>
      <c r="M82" s="558"/>
      <c r="N82" s="1156"/>
      <c r="O82" s="1156"/>
      <c r="P82" s="559"/>
      <c r="Q82" s="560"/>
    </row>
    <row r="83" spans="1:17" s="472" customFormat="1" ht="15.75" thickBot="1">
      <c r="A83" s="554"/>
      <c r="B83" s="544"/>
      <c r="C83" s="561"/>
      <c r="D83" s="537"/>
      <c r="E83" s="537"/>
      <c r="F83" s="537"/>
      <c r="G83" s="537"/>
      <c r="H83" s="537"/>
      <c r="I83" s="537"/>
      <c r="J83" s="537"/>
      <c r="K83" s="537"/>
      <c r="L83" s="537"/>
      <c r="M83" s="538"/>
      <c r="N83" s="1155"/>
      <c r="O83" s="1155"/>
      <c r="P83" s="559"/>
      <c r="Q83" s="560"/>
    </row>
    <row r="84" spans="1:17" s="472" customFormat="1" ht="15.75" thickTop="1">
      <c r="A84" s="554"/>
      <c r="B84" s="539">
        <f>B13</f>
        <v>111</v>
      </c>
      <c r="C84" s="555"/>
      <c r="D84" s="555"/>
      <c r="E84" s="555"/>
      <c r="F84" s="555"/>
      <c r="G84" s="555"/>
      <c r="H84" s="556"/>
      <c r="I84" s="556"/>
      <c r="J84" s="556"/>
      <c r="K84" s="556"/>
      <c r="L84" s="557"/>
      <c r="M84" s="558"/>
      <c r="N84" s="1156"/>
      <c r="O84" s="1156"/>
      <c r="P84" s="471"/>
      <c r="Q84" s="562"/>
    </row>
    <row r="85" spans="1:17" s="472" customFormat="1" ht="15.75" thickBot="1">
      <c r="A85" s="554"/>
      <c r="B85" s="544"/>
      <c r="C85" s="561"/>
      <c r="D85" s="561"/>
      <c r="E85" s="561"/>
      <c r="F85" s="561"/>
      <c r="G85" s="561"/>
      <c r="H85" s="563"/>
      <c r="I85" s="563"/>
      <c r="J85" s="563"/>
      <c r="K85" s="563"/>
      <c r="L85" s="563"/>
      <c r="M85" s="564"/>
      <c r="N85" s="1156"/>
      <c r="O85" s="1156"/>
      <c r="P85" s="559"/>
      <c r="Q85" s="560"/>
    </row>
    <row r="86" spans="1:17" s="472" customFormat="1" ht="15.75" thickTop="1">
      <c r="A86" s="554"/>
      <c r="B86" s="547">
        <f>B14</f>
        <v>111</v>
      </c>
      <c r="C86" s="524"/>
      <c r="D86" s="524"/>
      <c r="E86" s="524"/>
      <c r="F86" s="524"/>
      <c r="G86" s="524"/>
      <c r="H86" s="565"/>
      <c r="I86" s="565"/>
      <c r="J86" s="565"/>
      <c r="K86" s="565"/>
      <c r="L86" s="566"/>
      <c r="M86" s="567"/>
      <c r="N86" s="1156"/>
      <c r="O86" s="1156"/>
      <c r="P86" s="568"/>
      <c r="Q86" s="560"/>
    </row>
    <row r="87" spans="1:17" s="472" customFormat="1" ht="15.75" thickBot="1">
      <c r="A87" s="569"/>
      <c r="B87" s="570"/>
      <c r="C87" s="571"/>
      <c r="D87" s="571"/>
      <c r="E87" s="571"/>
      <c r="F87" s="571"/>
      <c r="G87" s="571"/>
      <c r="H87" s="572"/>
      <c r="I87" s="572"/>
      <c r="J87" s="572"/>
      <c r="K87" s="572"/>
      <c r="L87" s="572"/>
      <c r="M87" s="573"/>
      <c r="N87" s="1156"/>
      <c r="O87" s="1156"/>
      <c r="P87" s="559"/>
      <c r="Q87" s="560"/>
    </row>
    <row r="88" spans="1:17">
      <c r="A88" s="528" t="s">
        <v>2557</v>
      </c>
      <c r="B88" s="529" t="s">
        <v>2593</v>
      </c>
      <c r="C88" s="574" t="s">
        <v>2594</v>
      </c>
      <c r="D88" s="574" t="s">
        <v>2595</v>
      </c>
      <c r="E88" s="574" t="s">
        <v>2596</v>
      </c>
      <c r="F88" s="574" t="s">
        <v>2597</v>
      </c>
      <c r="G88" s="574" t="s">
        <v>2598</v>
      </c>
      <c r="H88" s="530"/>
      <c r="I88" s="530"/>
      <c r="J88" s="530"/>
      <c r="K88" s="575"/>
      <c r="L88" s="576"/>
      <c r="M88" s="577"/>
      <c r="N88" s="1154"/>
      <c r="O88" s="1154"/>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5"/>
      <c r="O89" s="1155"/>
      <c r="P89" s="45"/>
      <c r="Q89" s="505"/>
    </row>
    <row r="90" spans="1:17" ht="15.75" thickTop="1">
      <c r="A90" s="535"/>
      <c r="B90" s="539" t="s">
        <v>2781</v>
      </c>
      <c r="C90" s="579" t="s">
        <v>2594</v>
      </c>
      <c r="D90" s="579" t="s">
        <v>2595</v>
      </c>
      <c r="E90" s="579" t="s">
        <v>2596</v>
      </c>
      <c r="F90" s="579" t="s">
        <v>2597</v>
      </c>
      <c r="G90" s="579" t="s">
        <v>2598</v>
      </c>
      <c r="H90" s="540"/>
      <c r="I90" s="540"/>
      <c r="J90" s="540"/>
      <c r="K90" s="541"/>
      <c r="L90" s="542"/>
      <c r="M90" s="543"/>
      <c r="N90" s="1154"/>
      <c r="O90" s="1154"/>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5"/>
      <c r="O91" s="1155"/>
      <c r="P91" s="45"/>
      <c r="Q91" s="505"/>
    </row>
    <row r="92" spans="1:17" ht="15.75" thickTop="1">
      <c r="A92" s="535"/>
      <c r="B92" s="539" t="s">
        <v>2694</v>
      </c>
      <c r="C92" s="579" t="s">
        <v>2594</v>
      </c>
      <c r="D92" s="579" t="s">
        <v>2595</v>
      </c>
      <c r="E92" s="579" t="s">
        <v>2596</v>
      </c>
      <c r="F92" s="579" t="s">
        <v>2597</v>
      </c>
      <c r="G92" s="579" t="s">
        <v>2598</v>
      </c>
      <c r="H92" s="540"/>
      <c r="I92" s="540"/>
      <c r="J92" s="540"/>
      <c r="K92" s="541"/>
      <c r="L92" s="542"/>
      <c r="M92" s="543"/>
      <c r="N92" s="1154"/>
      <c r="O92" s="1154"/>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5"/>
      <c r="O93" s="1155"/>
      <c r="P93" s="45"/>
      <c r="Q93" s="505"/>
    </row>
    <row r="94" spans="1:17" ht="15.75" thickTop="1">
      <c r="A94" s="535"/>
      <c r="B94" s="539" t="s">
        <v>2599</v>
      </c>
      <c r="C94" s="579" t="s">
        <v>2594</v>
      </c>
      <c r="D94" s="579" t="s">
        <v>2595</v>
      </c>
      <c r="E94" s="579" t="s">
        <v>2596</v>
      </c>
      <c r="F94" s="579" t="s">
        <v>2597</v>
      </c>
      <c r="G94" s="579" t="s">
        <v>2598</v>
      </c>
      <c r="H94" s="540"/>
      <c r="I94" s="540"/>
      <c r="J94" s="540"/>
      <c r="K94" s="541"/>
      <c r="L94" s="542"/>
      <c r="M94" s="543"/>
      <c r="N94" s="1154"/>
      <c r="O94" s="1154"/>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5"/>
      <c r="O95" s="1155"/>
      <c r="P95" s="45"/>
      <c r="Q95" s="505"/>
    </row>
    <row r="96" spans="1:17" s="117" customFormat="1" ht="15.75" thickTop="1">
      <c r="A96" s="580"/>
      <c r="B96" s="539" t="s">
        <v>2782</v>
      </c>
      <c r="C96" s="579" t="s">
        <v>2594</v>
      </c>
      <c r="D96" s="579" t="s">
        <v>2595</v>
      </c>
      <c r="E96" s="579" t="s">
        <v>2596</v>
      </c>
      <c r="F96" s="579" t="s">
        <v>2597</v>
      </c>
      <c r="G96" s="579" t="s">
        <v>2598</v>
      </c>
      <c r="H96" s="579"/>
      <c r="I96" s="579"/>
      <c r="J96" s="579"/>
      <c r="K96" s="579"/>
      <c r="L96" s="699"/>
      <c r="M96" s="623"/>
      <c r="N96" s="1153"/>
      <c r="O96" s="1153"/>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5"/>
      <c r="O97" s="1155"/>
      <c r="P97" s="45"/>
      <c r="Q97" s="505"/>
    </row>
    <row r="98" spans="1:17" s="117" customFormat="1" ht="27.75" thickTop="1">
      <c r="A98" s="580"/>
      <c r="B98" s="539" t="s">
        <v>2783</v>
      </c>
      <c r="C98" s="574" t="s">
        <v>2594</v>
      </c>
      <c r="D98" s="574" t="s">
        <v>2595</v>
      </c>
      <c r="E98" s="574" t="s">
        <v>2596</v>
      </c>
      <c r="F98" s="574" t="s">
        <v>2597</v>
      </c>
      <c r="G98" s="574" t="s">
        <v>2598</v>
      </c>
      <c r="H98" s="579"/>
      <c r="I98" s="579"/>
      <c r="J98" s="579"/>
      <c r="K98" s="579"/>
      <c r="L98" s="579"/>
      <c r="M98" s="623"/>
      <c r="N98" s="1153"/>
      <c r="O98" s="1153"/>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5"/>
      <c r="O99" s="1155"/>
      <c r="P99" s="45"/>
      <c r="Q99" s="505"/>
    </row>
    <row r="100" spans="1:17" s="472" customFormat="1" ht="15.75" thickTop="1">
      <c r="A100" s="554"/>
      <c r="B100" s="539" t="s">
        <v>2651</v>
      </c>
      <c r="C100" s="574" t="s">
        <v>2594</v>
      </c>
      <c r="D100" s="574" t="s">
        <v>2595</v>
      </c>
      <c r="E100" s="574" t="s">
        <v>2596</v>
      </c>
      <c r="F100" s="574" t="s">
        <v>2597</v>
      </c>
      <c r="G100" s="574" t="s">
        <v>2598</v>
      </c>
      <c r="H100" s="601"/>
      <c r="I100" s="601"/>
      <c r="J100" s="601"/>
      <c r="K100" s="601"/>
      <c r="L100" s="602"/>
      <c r="M100" s="603"/>
      <c r="N100" s="1156"/>
      <c r="O100" s="1156"/>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6"/>
      <c r="O101" s="1156"/>
      <c r="P101" s="559"/>
      <c r="Q101" s="560"/>
    </row>
    <row r="102" spans="1:17" s="472" customFormat="1" ht="15.75" thickTop="1">
      <c r="A102" s="554"/>
      <c r="B102" s="547" t="s">
        <v>2652</v>
      </c>
      <c r="C102" s="661" t="s">
        <v>2672</v>
      </c>
      <c r="D102" s="661" t="s">
        <v>2673</v>
      </c>
      <c r="E102" s="661" t="s">
        <v>2674</v>
      </c>
      <c r="F102" s="661" t="s">
        <v>2675</v>
      </c>
      <c r="G102" s="661" t="s">
        <v>2676</v>
      </c>
      <c r="H102" s="601"/>
      <c r="I102" s="601"/>
      <c r="J102" s="601"/>
      <c r="K102" s="601"/>
      <c r="L102" s="601"/>
      <c r="M102" s="1387"/>
      <c r="N102" s="1156"/>
      <c r="O102" s="1156"/>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7"/>
      <c r="N103" s="1156"/>
      <c r="O103" s="1156"/>
      <c r="P103" s="559"/>
      <c r="Q103" s="560"/>
    </row>
    <row r="104" spans="1:17" ht="15.75" thickTop="1">
      <c r="A104" s="535"/>
      <c r="B104" s="539" t="str">
        <f>B31</f>
        <v>临街状况</v>
      </c>
      <c r="C104" s="540" t="s">
        <v>2784</v>
      </c>
      <c r="D104" s="540" t="s">
        <v>2785</v>
      </c>
      <c r="E104" s="540" t="s">
        <v>2786</v>
      </c>
      <c r="F104" s="540" t="s">
        <v>2787</v>
      </c>
      <c r="G104" s="540"/>
      <c r="H104" s="540"/>
      <c r="I104" s="540"/>
      <c r="J104" s="540"/>
      <c r="K104" s="541"/>
      <c r="L104" s="542"/>
      <c r="M104" s="543"/>
      <c r="N104" s="1154"/>
      <c r="O104" s="1154"/>
      <c r="P104" s="45"/>
      <c r="Q104" s="505"/>
    </row>
    <row r="105" spans="1:17" ht="15.75" thickBot="1">
      <c r="A105" s="535"/>
      <c r="B105" s="544"/>
      <c r="C105" s="545">
        <v>100</v>
      </c>
      <c r="D105" s="545">
        <f>C105-$K31</f>
        <v>100</v>
      </c>
      <c r="E105" s="545">
        <f t="shared" ref="E105:M105" si="21">D105-$K31</f>
        <v>100</v>
      </c>
      <c r="F105" s="545">
        <f t="shared" si="21"/>
        <v>100</v>
      </c>
      <c r="G105" s="545">
        <f t="shared" si="21"/>
        <v>100</v>
      </c>
      <c r="H105" s="545">
        <f t="shared" si="21"/>
        <v>100</v>
      </c>
      <c r="I105" s="545">
        <f t="shared" si="21"/>
        <v>100</v>
      </c>
      <c r="J105" s="545">
        <f t="shared" si="21"/>
        <v>100</v>
      </c>
      <c r="K105" s="545">
        <f t="shared" si="21"/>
        <v>100</v>
      </c>
      <c r="L105" s="545">
        <f t="shared" si="21"/>
        <v>100</v>
      </c>
      <c r="M105" s="545">
        <f t="shared" si="21"/>
        <v>100</v>
      </c>
      <c r="N105" s="1155"/>
      <c r="O105" s="1155"/>
      <c r="P105" s="45"/>
      <c r="Q105" s="505"/>
    </row>
    <row r="106" spans="1:17" ht="27.75" thickTop="1">
      <c r="A106" s="535"/>
      <c r="B106" s="539" t="s">
        <v>2688</v>
      </c>
      <c r="C106" s="555"/>
      <c r="D106" s="555"/>
      <c r="E106" s="555"/>
      <c r="F106" s="555"/>
      <c r="G106" s="555"/>
      <c r="H106" s="584"/>
      <c r="I106" s="584"/>
      <c r="J106" s="584"/>
      <c r="K106" s="585"/>
      <c r="L106" s="586"/>
      <c r="M106" s="587"/>
      <c r="N106" s="1154"/>
      <c r="O106" s="1154"/>
      <c r="P106" s="45"/>
      <c r="Q106" s="505"/>
    </row>
    <row r="107" spans="1:17" ht="15.75" thickBot="1">
      <c r="A107" s="535"/>
      <c r="B107" s="544"/>
      <c r="C107" s="545">
        <v>100</v>
      </c>
      <c r="D107" s="545">
        <f>C107-$K32</f>
        <v>100</v>
      </c>
      <c r="E107" s="545">
        <f t="shared" ref="E107:M107" si="22">D107-$K32</f>
        <v>100</v>
      </c>
      <c r="F107" s="545">
        <f t="shared" si="22"/>
        <v>100</v>
      </c>
      <c r="G107" s="545">
        <f t="shared" si="22"/>
        <v>100</v>
      </c>
      <c r="H107" s="545">
        <f t="shared" si="22"/>
        <v>100</v>
      </c>
      <c r="I107" s="545">
        <f t="shared" si="22"/>
        <v>100</v>
      </c>
      <c r="J107" s="545">
        <f t="shared" si="22"/>
        <v>100</v>
      </c>
      <c r="K107" s="545">
        <f t="shared" si="22"/>
        <v>100</v>
      </c>
      <c r="L107" s="545">
        <f t="shared" si="22"/>
        <v>100</v>
      </c>
      <c r="M107" s="545">
        <f t="shared" si="22"/>
        <v>100</v>
      </c>
      <c r="N107" s="1155"/>
      <c r="O107" s="1155"/>
      <c r="P107" s="45"/>
      <c r="Q107" s="505"/>
    </row>
    <row r="108" spans="1:17" ht="15.75" thickTop="1">
      <c r="A108" s="535"/>
      <c r="B108" s="539" t="s">
        <v>2747</v>
      </c>
      <c r="C108" s="584"/>
      <c r="D108" s="584"/>
      <c r="E108" s="584"/>
      <c r="F108" s="584"/>
      <c r="G108" s="584"/>
      <c r="H108" s="584"/>
      <c r="I108" s="584"/>
      <c r="J108" s="584"/>
      <c r="K108" s="585"/>
      <c r="L108" s="586"/>
      <c r="M108" s="587"/>
      <c r="N108" s="1154"/>
      <c r="O108" s="1154"/>
      <c r="P108" s="45"/>
      <c r="Q108" s="505"/>
    </row>
    <row r="109" spans="1:17" ht="15.75" thickBot="1">
      <c r="A109" s="535"/>
      <c r="B109" s="544"/>
      <c r="C109" s="545">
        <v>100</v>
      </c>
      <c r="D109" s="545">
        <f>C109-$K34</f>
        <v>100</v>
      </c>
      <c r="E109" s="545">
        <f t="shared" ref="E109:M109" si="23">D109-$K34</f>
        <v>100</v>
      </c>
      <c r="F109" s="545">
        <f t="shared" si="23"/>
        <v>100</v>
      </c>
      <c r="G109" s="545">
        <f t="shared" si="23"/>
        <v>100</v>
      </c>
      <c r="H109" s="545">
        <f t="shared" si="23"/>
        <v>100</v>
      </c>
      <c r="I109" s="545">
        <f t="shared" si="23"/>
        <v>100</v>
      </c>
      <c r="J109" s="545">
        <f t="shared" si="23"/>
        <v>100</v>
      </c>
      <c r="K109" s="545">
        <f t="shared" si="23"/>
        <v>100</v>
      </c>
      <c r="L109" s="545">
        <f t="shared" si="23"/>
        <v>100</v>
      </c>
      <c r="M109" s="545">
        <f t="shared" si="23"/>
        <v>100</v>
      </c>
      <c r="N109" s="1155"/>
      <c r="O109" s="1155"/>
      <c r="P109" s="45"/>
      <c r="Q109" s="505"/>
    </row>
    <row r="110" spans="1:17" ht="15.75" thickTop="1">
      <c r="A110" s="535"/>
      <c r="B110" s="547">
        <f>B35</f>
        <v>111</v>
      </c>
      <c r="C110" s="555"/>
      <c r="D110" s="555"/>
      <c r="E110" s="555"/>
      <c r="F110" s="555"/>
      <c r="G110" s="588"/>
      <c r="H110" s="588"/>
      <c r="I110" s="588"/>
      <c r="J110" s="588"/>
      <c r="K110" s="589"/>
      <c r="L110" s="590"/>
      <c r="M110" s="591"/>
      <c r="N110" s="1154"/>
      <c r="O110" s="1154"/>
      <c r="P110" s="45"/>
      <c r="Q110" s="505"/>
    </row>
    <row r="111" spans="1:17" ht="15.75" thickBot="1">
      <c r="A111" s="535"/>
      <c r="B111" s="570"/>
      <c r="C111" s="561"/>
      <c r="D111" s="561"/>
      <c r="E111" s="561"/>
      <c r="F111" s="561"/>
      <c r="G111" s="592"/>
      <c r="H111" s="592"/>
      <c r="I111" s="592"/>
      <c r="J111" s="592"/>
      <c r="K111" s="592"/>
      <c r="L111" s="592"/>
      <c r="M111" s="593"/>
      <c r="N111" s="1155"/>
      <c r="O111" s="1155"/>
      <c r="P111" s="45"/>
      <c r="Q111" s="505"/>
    </row>
    <row r="112" spans="1:17" ht="15" thickTop="1">
      <c r="A112" s="676"/>
      <c r="B112" s="539">
        <f>B36</f>
        <v>111</v>
      </c>
      <c r="C112" s="524"/>
      <c r="D112" s="524"/>
      <c r="E112" s="524"/>
      <c r="F112" s="524"/>
      <c r="G112" s="584"/>
      <c r="H112" s="584"/>
      <c r="I112" s="584"/>
      <c r="J112" s="584"/>
      <c r="K112" s="585"/>
      <c r="L112" s="586"/>
      <c r="M112" s="587"/>
      <c r="N112" s="1154"/>
      <c r="O112" s="1154"/>
      <c r="P112" s="45"/>
      <c r="Q112" s="505"/>
    </row>
    <row r="113" spans="1:17" ht="15.75" thickBot="1">
      <c r="A113" s="535"/>
      <c r="B113" s="544"/>
      <c r="C113" s="571"/>
      <c r="D113" s="571"/>
      <c r="E113" s="571"/>
      <c r="F113" s="571"/>
      <c r="G113" s="537"/>
      <c r="H113" s="537"/>
      <c r="I113" s="537"/>
      <c r="J113" s="537"/>
      <c r="K113" s="537"/>
      <c r="L113" s="537"/>
      <c r="M113" s="538"/>
      <c r="N113" s="1155"/>
      <c r="O113" s="1155"/>
      <c r="P113" s="45"/>
      <c r="Q113" s="505"/>
    </row>
    <row r="114" spans="1:17" s="472" customFormat="1" ht="15" thickTop="1">
      <c r="A114" s="594"/>
      <c r="B114" s="595">
        <f>B37</f>
        <v>111</v>
      </c>
      <c r="C114" s="596"/>
      <c r="D114" s="596"/>
      <c r="E114" s="596"/>
      <c r="F114" s="596"/>
      <c r="G114" s="596"/>
      <c r="H114" s="596"/>
      <c r="I114" s="596"/>
      <c r="J114" s="597"/>
      <c r="K114" s="597"/>
      <c r="L114" s="598"/>
      <c r="M114" s="599"/>
      <c r="N114" s="1156"/>
      <c r="O114" s="1156"/>
      <c r="P114" s="559"/>
      <c r="Q114" s="560"/>
    </row>
    <row r="115" spans="1:17" s="472" customFormat="1" ht="15.75" thickBot="1">
      <c r="A115" s="554"/>
      <c r="B115" s="547"/>
      <c r="C115" s="513"/>
      <c r="D115" s="678"/>
      <c r="E115" s="678"/>
      <c r="F115" s="678"/>
      <c r="G115" s="678"/>
      <c r="H115" s="678"/>
      <c r="I115" s="678"/>
      <c r="J115" s="678"/>
      <c r="K115" s="678"/>
      <c r="L115" s="678"/>
      <c r="M115" s="700"/>
      <c r="N115" s="1155"/>
      <c r="O115" s="1155"/>
      <c r="P115" s="559"/>
      <c r="Q115" s="560"/>
    </row>
    <row r="116" spans="1:17">
      <c r="A116" s="528" t="s">
        <v>2561</v>
      </c>
      <c r="B116" s="529" t="s">
        <v>2788</v>
      </c>
      <c r="C116" s="530" t="str">
        <f>C117&amp;"(含)"&amp;"-"&amp;D117</f>
        <v>(含)-</v>
      </c>
      <c r="D116" s="530" t="str">
        <f t="shared" ref="D116:M116" si="24">D117&amp;"(含)"&amp;"-"&amp;E117</f>
        <v>(含)-</v>
      </c>
      <c r="E116" s="530" t="str">
        <f t="shared" si="24"/>
        <v>(含)-</v>
      </c>
      <c r="F116" s="530" t="str">
        <f t="shared" si="24"/>
        <v>(含)-</v>
      </c>
      <c r="G116" s="530" t="str">
        <f t="shared" si="24"/>
        <v>(含)-</v>
      </c>
      <c r="H116" s="530" t="str">
        <f t="shared" si="24"/>
        <v>(含)-</v>
      </c>
      <c r="I116" s="530" t="str">
        <f t="shared" si="24"/>
        <v>(含)-</v>
      </c>
      <c r="J116" s="530" t="str">
        <f t="shared" si="24"/>
        <v>(含)-</v>
      </c>
      <c r="K116" s="530" t="str">
        <f t="shared" si="24"/>
        <v>(含)-</v>
      </c>
      <c r="L116" s="530" t="str">
        <f t="shared" si="24"/>
        <v>(含)-</v>
      </c>
      <c r="M116" s="530" t="str">
        <f t="shared" si="24"/>
        <v>(含)-</v>
      </c>
      <c r="N116" s="1154"/>
      <c r="O116" s="1154"/>
      <c r="P116" s="45"/>
      <c r="Q116" s="505"/>
    </row>
    <row r="117" spans="1:17" ht="15">
      <c r="A117" s="535"/>
      <c r="B117" s="547"/>
      <c r="C117" s="596"/>
      <c r="D117" s="596"/>
      <c r="E117" s="596"/>
      <c r="F117" s="596"/>
      <c r="G117" s="596"/>
      <c r="H117" s="596"/>
      <c r="I117" s="596"/>
      <c r="J117" s="597"/>
      <c r="K117" s="597"/>
      <c r="L117" s="598"/>
      <c r="M117" s="599"/>
      <c r="N117" s="1154"/>
      <c r="O117" s="1154"/>
      <c r="P117" s="45"/>
      <c r="Q117" s="505"/>
    </row>
    <row r="118" spans="1:17" ht="15.75" thickBot="1">
      <c r="A118" s="535"/>
      <c r="B118" s="544"/>
      <c r="C118" s="571"/>
      <c r="D118" s="592"/>
      <c r="E118" s="592"/>
      <c r="F118" s="592"/>
      <c r="G118" s="592"/>
      <c r="H118" s="592"/>
      <c r="I118" s="592"/>
      <c r="J118" s="592"/>
      <c r="K118" s="592"/>
      <c r="L118" s="592"/>
      <c r="M118" s="593"/>
      <c r="N118" s="1155"/>
      <c r="O118" s="1155"/>
      <c r="P118" s="45"/>
      <c r="Q118" s="505"/>
    </row>
    <row r="119" spans="1:17" ht="15" thickTop="1">
      <c r="A119" s="600"/>
      <c r="B119" s="539" t="s">
        <v>2789</v>
      </c>
      <c r="C119" s="584"/>
      <c r="D119" s="584"/>
      <c r="E119" s="584"/>
      <c r="F119" s="584"/>
      <c r="G119" s="584"/>
      <c r="H119" s="584"/>
      <c r="I119" s="584"/>
      <c r="J119" s="584"/>
      <c r="K119" s="585"/>
      <c r="L119" s="586"/>
      <c r="M119" s="587"/>
      <c r="N119" s="1154"/>
      <c r="O119" s="1154"/>
      <c r="P119" s="45"/>
      <c r="Q119" s="505"/>
    </row>
    <row r="120" spans="1:17" ht="15.75" thickBot="1">
      <c r="A120" s="535"/>
      <c r="B120" s="544"/>
      <c r="C120" s="545">
        <v>100</v>
      </c>
      <c r="D120" s="545">
        <f t="shared" ref="D120:M120" si="25">C120-$K39</f>
        <v>100</v>
      </c>
      <c r="E120" s="545">
        <f t="shared" si="25"/>
        <v>100</v>
      </c>
      <c r="F120" s="545">
        <f t="shared" si="25"/>
        <v>100</v>
      </c>
      <c r="G120" s="545">
        <f t="shared" si="25"/>
        <v>100</v>
      </c>
      <c r="H120" s="545">
        <f t="shared" si="25"/>
        <v>100</v>
      </c>
      <c r="I120" s="545">
        <f t="shared" si="25"/>
        <v>100</v>
      </c>
      <c r="J120" s="545">
        <f t="shared" si="25"/>
        <v>100</v>
      </c>
      <c r="K120" s="545">
        <f t="shared" si="25"/>
        <v>100</v>
      </c>
      <c r="L120" s="545">
        <f t="shared" si="25"/>
        <v>100</v>
      </c>
      <c r="M120" s="546">
        <f t="shared" si="25"/>
        <v>100</v>
      </c>
      <c r="N120" s="1155"/>
      <c r="O120" s="1155"/>
      <c r="P120" s="45"/>
      <c r="Q120" s="505"/>
    </row>
    <row r="121" spans="1:17" ht="15" thickTop="1">
      <c r="A121" s="600"/>
      <c r="B121" s="539" t="s">
        <v>2790</v>
      </c>
      <c r="C121" s="555"/>
      <c r="D121" s="555"/>
      <c r="E121" s="555"/>
      <c r="F121" s="584"/>
      <c r="G121" s="584"/>
      <c r="H121" s="584"/>
      <c r="I121" s="584"/>
      <c r="J121" s="584"/>
      <c r="K121" s="585"/>
      <c r="L121" s="586"/>
      <c r="M121" s="587"/>
      <c r="N121" s="1154"/>
      <c r="O121" s="1154"/>
      <c r="P121" s="45"/>
      <c r="Q121" s="505"/>
    </row>
    <row r="122" spans="1:17" ht="15.75" thickBot="1">
      <c r="A122" s="535"/>
      <c r="B122" s="544"/>
      <c r="C122" s="545">
        <v>100</v>
      </c>
      <c r="D122" s="545">
        <f t="shared" ref="D122:M122" si="26">C122-$K40</f>
        <v>100</v>
      </c>
      <c r="E122" s="545">
        <f t="shared" si="26"/>
        <v>100</v>
      </c>
      <c r="F122" s="545">
        <f t="shared" si="26"/>
        <v>100</v>
      </c>
      <c r="G122" s="545">
        <f t="shared" si="26"/>
        <v>100</v>
      </c>
      <c r="H122" s="545">
        <f t="shared" si="26"/>
        <v>100</v>
      </c>
      <c r="I122" s="545">
        <f t="shared" si="26"/>
        <v>100</v>
      </c>
      <c r="J122" s="545">
        <f t="shared" si="26"/>
        <v>100</v>
      </c>
      <c r="K122" s="545">
        <f t="shared" si="26"/>
        <v>100</v>
      </c>
      <c r="L122" s="545">
        <f t="shared" si="26"/>
        <v>100</v>
      </c>
      <c r="M122" s="546">
        <f t="shared" si="26"/>
        <v>100</v>
      </c>
      <c r="N122" s="1155"/>
      <c r="O122" s="1155"/>
      <c r="P122" s="45"/>
      <c r="Q122" s="505"/>
    </row>
    <row r="123" spans="1:17" s="472" customFormat="1" ht="15" thickTop="1">
      <c r="A123" s="594"/>
      <c r="B123" s="539" t="s">
        <v>2791</v>
      </c>
      <c r="C123" s="555"/>
      <c r="D123" s="555"/>
      <c r="E123" s="555"/>
      <c r="F123" s="555"/>
      <c r="G123" s="555"/>
      <c r="H123" s="584"/>
      <c r="I123" s="584"/>
      <c r="J123" s="584"/>
      <c r="K123" s="585"/>
      <c r="L123" s="586"/>
      <c r="M123" s="587"/>
      <c r="N123" s="1156"/>
      <c r="O123" s="1156"/>
      <c r="P123" s="559"/>
      <c r="Q123" s="560"/>
    </row>
    <row r="124" spans="1:17" s="472" customFormat="1" ht="15.75" thickBot="1">
      <c r="A124" s="554"/>
      <c r="B124" s="544"/>
      <c r="C124" s="545">
        <v>100</v>
      </c>
      <c r="D124" s="545">
        <f>C124-$K41</f>
        <v>100</v>
      </c>
      <c r="E124" s="545">
        <f t="shared" ref="E124:M124" si="27">D124-$K41</f>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6"/>
      <c r="O124" s="1156"/>
      <c r="P124" s="559"/>
      <c r="Q124" s="560"/>
    </row>
    <row r="125" spans="1:17" ht="15" thickTop="1">
      <c r="A125" s="600"/>
      <c r="B125" s="539" t="s">
        <v>2792</v>
      </c>
      <c r="C125" s="555"/>
      <c r="D125" s="555"/>
      <c r="E125" s="584"/>
      <c r="F125" s="584"/>
      <c r="G125" s="584"/>
      <c r="H125" s="584"/>
      <c r="I125" s="584"/>
      <c r="J125" s="584"/>
      <c r="K125" s="585"/>
      <c r="L125" s="586"/>
      <c r="M125" s="587"/>
      <c r="N125" s="1154"/>
      <c r="O125" s="1154"/>
      <c r="P125" s="45"/>
      <c r="Q125" s="505"/>
    </row>
    <row r="126" spans="1:17" ht="15.75" thickBot="1">
      <c r="A126" s="535"/>
      <c r="B126" s="544"/>
      <c r="C126" s="545">
        <v>100</v>
      </c>
      <c r="D126" s="545">
        <f t="shared" ref="D126:M126" si="28">C126-$K42</f>
        <v>100</v>
      </c>
      <c r="E126" s="545">
        <f t="shared" si="28"/>
        <v>100</v>
      </c>
      <c r="F126" s="545">
        <f t="shared" si="28"/>
        <v>100</v>
      </c>
      <c r="G126" s="545">
        <f t="shared" si="28"/>
        <v>100</v>
      </c>
      <c r="H126" s="545">
        <f t="shared" si="28"/>
        <v>100</v>
      </c>
      <c r="I126" s="545">
        <f t="shared" si="28"/>
        <v>100</v>
      </c>
      <c r="J126" s="545">
        <f t="shared" si="28"/>
        <v>100</v>
      </c>
      <c r="K126" s="545">
        <f t="shared" si="28"/>
        <v>100</v>
      </c>
      <c r="L126" s="545">
        <f t="shared" si="28"/>
        <v>100</v>
      </c>
      <c r="M126" s="546">
        <f t="shared" si="28"/>
        <v>100</v>
      </c>
      <c r="N126" s="1155"/>
      <c r="O126" s="1155"/>
      <c r="P126" s="45"/>
      <c r="Q126" s="505"/>
    </row>
    <row r="127" spans="1:17" ht="15" thickTop="1">
      <c r="A127" s="600"/>
      <c r="B127" s="539">
        <f>B43</f>
        <v>111</v>
      </c>
      <c r="C127" s="555"/>
      <c r="D127" s="555"/>
      <c r="E127" s="555"/>
      <c r="F127" s="555"/>
      <c r="G127" s="555"/>
      <c r="H127" s="584"/>
      <c r="I127" s="584"/>
      <c r="J127" s="584"/>
      <c r="K127" s="585"/>
      <c r="L127" s="586"/>
      <c r="M127" s="587"/>
      <c r="N127" s="1154"/>
      <c r="O127" s="1154"/>
      <c r="P127" s="45"/>
      <c r="Q127" s="505"/>
    </row>
    <row r="128" spans="1:17" ht="15.75" thickBot="1">
      <c r="A128" s="535"/>
      <c r="B128" s="544"/>
      <c r="C128" s="561"/>
      <c r="D128" s="561"/>
      <c r="E128" s="561"/>
      <c r="F128" s="561"/>
      <c r="G128" s="537"/>
      <c r="H128" s="537"/>
      <c r="I128" s="537"/>
      <c r="J128" s="537"/>
      <c r="K128" s="537"/>
      <c r="L128" s="537"/>
      <c r="M128" s="538"/>
      <c r="N128" s="1155"/>
      <c r="O128" s="1155"/>
      <c r="P128" s="45"/>
      <c r="Q128" s="505"/>
    </row>
    <row r="129" spans="1:17" ht="15" thickTop="1">
      <c r="A129" s="600"/>
      <c r="B129" s="539">
        <f>B44</f>
        <v>111</v>
      </c>
      <c r="C129" s="524"/>
      <c r="D129" s="524"/>
      <c r="E129" s="524"/>
      <c r="F129" s="524"/>
      <c r="G129" s="584"/>
      <c r="H129" s="584"/>
      <c r="I129" s="584"/>
      <c r="J129" s="584"/>
      <c r="K129" s="585"/>
      <c r="L129" s="586"/>
      <c r="M129" s="587"/>
      <c r="N129" s="1154"/>
      <c r="O129" s="1154"/>
      <c r="P129" s="45"/>
      <c r="Q129" s="505"/>
    </row>
    <row r="130" spans="1:17" ht="15.75" thickBot="1">
      <c r="A130" s="535"/>
      <c r="B130" s="544"/>
      <c r="C130" s="571"/>
      <c r="D130" s="571"/>
      <c r="E130" s="571"/>
      <c r="F130" s="571"/>
      <c r="G130" s="537"/>
      <c r="H130" s="537"/>
      <c r="I130" s="537"/>
      <c r="J130" s="537"/>
      <c r="K130" s="537"/>
      <c r="L130" s="537"/>
      <c r="M130" s="538"/>
      <c r="N130" s="1155"/>
      <c r="O130" s="1155"/>
      <c r="P130" s="45"/>
      <c r="Q130" s="505"/>
    </row>
    <row r="131" spans="1:17" s="472" customFormat="1" ht="15" thickTop="1">
      <c r="A131" s="594"/>
      <c r="B131" s="539">
        <f>B45</f>
        <v>111</v>
      </c>
      <c r="C131" s="524"/>
      <c r="D131" s="524"/>
      <c r="E131" s="524"/>
      <c r="F131" s="524"/>
      <c r="G131" s="556"/>
      <c r="H131" s="556"/>
      <c r="I131" s="556"/>
      <c r="J131" s="556"/>
      <c r="K131" s="556"/>
      <c r="L131" s="557"/>
      <c r="M131" s="558"/>
      <c r="N131" s="1156"/>
      <c r="O131" s="1156"/>
      <c r="P131" s="559"/>
      <c r="Q131" s="560"/>
    </row>
    <row r="132" spans="1:17" s="472" customFormat="1" ht="15.75" thickBot="1">
      <c r="A132" s="569"/>
      <c r="B132" s="701"/>
      <c r="C132" s="571"/>
      <c r="D132" s="571"/>
      <c r="E132" s="571"/>
      <c r="F132" s="571"/>
      <c r="G132" s="592"/>
      <c r="H132" s="592"/>
      <c r="I132" s="592"/>
      <c r="J132" s="592"/>
      <c r="K132" s="592"/>
      <c r="L132" s="592"/>
      <c r="M132" s="593"/>
      <c r="N132" s="1156"/>
      <c r="O132" s="1156"/>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2741</v>
      </c>
      <c r="B1" s="396"/>
      <c r="C1" s="397"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9" customFormat="1" ht="28.5" customHeight="1">
      <c r="A2" s="246" t="s">
        <v>2325</v>
      </c>
      <c r="B2" s="672"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2327</v>
      </c>
      <c r="B3" s="610" t="e">
        <f>ROUND(IF(D3="",B2*10000/'数据-汇总表'!E3,B2*10000/D3),0)</f>
        <v>#DIV/0!</v>
      </c>
      <c r="C3" s="248" t="s">
        <v>2743</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2642</v>
      </c>
      <c r="B4" s="403"/>
      <c r="C4" s="3165" t="s">
        <v>2643</v>
      </c>
      <c r="D4" s="3166"/>
      <c r="E4" s="3167" t="s">
        <v>2644</v>
      </c>
      <c r="F4" s="3168"/>
      <c r="G4" s="3165" t="s">
        <v>2645</v>
      </c>
      <c r="H4" s="3166"/>
      <c r="I4" s="3165" t="s">
        <v>2646</v>
      </c>
      <c r="J4" s="3166"/>
      <c r="K4" s="611" t="s">
        <v>2647</v>
      </c>
      <c r="L4" s="1132"/>
      <c r="M4" s="1133"/>
      <c r="N4" s="1133"/>
      <c r="O4" s="1133"/>
      <c r="P4" s="3169" t="s">
        <v>2648</v>
      </c>
      <c r="Q4" s="3170"/>
      <c r="R4" s="3151" t="s">
        <v>2644</v>
      </c>
      <c r="S4" s="3152"/>
      <c r="T4" s="3151" t="s">
        <v>2645</v>
      </c>
      <c r="U4" s="3152"/>
      <c r="V4" s="3177" t="s">
        <v>2646</v>
      </c>
      <c r="W4" s="3177"/>
      <c r="X4" s="1816"/>
      <c r="Y4" s="3151" t="s">
        <v>2648</v>
      </c>
      <c r="Z4" s="3152"/>
      <c r="AA4" s="3146" t="s">
        <v>2644</v>
      </c>
      <c r="AB4" s="3147" t="s">
        <v>2645</v>
      </c>
      <c r="AC4" s="3146" t="s">
        <v>2646</v>
      </c>
    </row>
    <row r="5" spans="1:29" ht="15">
      <c r="A5" s="405"/>
      <c r="B5" s="406"/>
      <c r="C5" s="3157" t="s">
        <v>2540</v>
      </c>
      <c r="D5" s="3158"/>
      <c r="E5" s="3227" t="s">
        <v>2541</v>
      </c>
      <c r="F5" s="3156"/>
      <c r="G5" s="3157" t="s">
        <v>2542</v>
      </c>
      <c r="H5" s="3158"/>
      <c r="I5" s="3157" t="s">
        <v>2543</v>
      </c>
      <c r="J5" s="3158"/>
      <c r="K5" s="611"/>
      <c r="L5" s="1132"/>
      <c r="M5" s="1133"/>
      <c r="N5" s="1133"/>
      <c r="O5" s="1133"/>
      <c r="P5" s="3171"/>
      <c r="Q5" s="3172"/>
      <c r="R5" s="3153"/>
      <c r="S5" s="3154"/>
      <c r="T5" s="3153"/>
      <c r="U5" s="3154"/>
      <c r="V5" s="3177"/>
      <c r="W5" s="3177"/>
      <c r="X5" s="1816"/>
      <c r="Y5" s="3153"/>
      <c r="Z5" s="3154"/>
      <c r="AA5" s="3147"/>
      <c r="AB5" s="3147"/>
      <c r="AC5" s="3147"/>
    </row>
    <row r="6" spans="1:29" ht="15.75" thickBot="1">
      <c r="A6" s="407"/>
      <c r="B6" s="408"/>
      <c r="C6" s="3248" t="s">
        <v>2794</v>
      </c>
      <c r="D6" s="3249"/>
      <c r="E6" s="3250" t="s">
        <v>2794</v>
      </c>
      <c r="F6" s="3251"/>
      <c r="G6" s="3248" t="s">
        <v>2794</v>
      </c>
      <c r="H6" s="3249"/>
      <c r="I6" s="3248" t="s">
        <v>2794</v>
      </c>
      <c r="J6" s="3249"/>
      <c r="K6" s="611" t="s">
        <v>2545</v>
      </c>
      <c r="L6" s="1132"/>
      <c r="M6" s="1133"/>
      <c r="N6" s="1133"/>
      <c r="O6" s="1133"/>
      <c r="P6" s="3173"/>
      <c r="Q6" s="3174"/>
      <c r="R6" s="3153"/>
      <c r="S6" s="3154"/>
      <c r="T6" s="3175"/>
      <c r="U6" s="3176"/>
      <c r="V6" s="3177"/>
      <c r="W6" s="3177"/>
      <c r="X6" s="1816"/>
      <c r="Y6" s="3175"/>
      <c r="Z6" s="3176"/>
      <c r="AA6" s="3148"/>
      <c r="AB6" s="3148"/>
      <c r="AC6" s="3148"/>
    </row>
    <row r="7" spans="1:29" s="117" customFormat="1" ht="15.75" thickBot="1">
      <c r="A7" s="409" t="s">
        <v>2546</v>
      </c>
      <c r="B7" s="410"/>
      <c r="C7" s="411">
        <f>'数据-取费表'!B2</f>
        <v>43040</v>
      </c>
      <c r="D7" s="412">
        <v>100</v>
      </c>
      <c r="E7" s="413"/>
      <c r="F7" s="414">
        <f>SUMIF(65:65,YEAR(E7)&amp;"-"&amp;INT((MONTH(E7)+2)/3),66:66)</f>
        <v>0</v>
      </c>
      <c r="G7" s="2699"/>
      <c r="H7" s="412">
        <f>SUMIF(65:65,YEAR(G7)&amp;"-"&amp;INT((MONTH(G7)+2)/3),66:66)</f>
        <v>0</v>
      </c>
      <c r="I7" s="2699"/>
      <c r="J7" s="412">
        <f>SUMIF(65:65,YEAR(I7)&amp;"-"&amp;INT((MONTH(I7)+2)/3),66:66)</f>
        <v>0</v>
      </c>
      <c r="K7" s="612"/>
      <c r="L7" s="1134"/>
      <c r="M7" s="1135"/>
      <c r="N7" s="1135"/>
      <c r="O7" s="1135"/>
      <c r="P7" s="3149" t="s">
        <v>2547</v>
      </c>
      <c r="Q7" s="3178"/>
      <c r="R7" s="769" t="s">
        <v>17</v>
      </c>
      <c r="S7" s="770">
        <f t="shared" ref="S7:S15" si="0">F7</f>
        <v>0</v>
      </c>
      <c r="T7" s="769" t="s">
        <v>17</v>
      </c>
      <c r="U7" s="770">
        <f t="shared" ref="U7:U15" si="1">H7</f>
        <v>0</v>
      </c>
      <c r="V7" s="769" t="s">
        <v>17</v>
      </c>
      <c r="W7" s="770">
        <f t="shared" ref="W7:W15" si="2">J7</f>
        <v>0</v>
      </c>
      <c r="X7" s="771"/>
      <c r="Y7" s="3149" t="s">
        <v>2547</v>
      </c>
      <c r="Z7" s="3150"/>
      <c r="AA7" s="772" t="e">
        <f>D7/F7</f>
        <v>#DIV/0!</v>
      </c>
      <c r="AB7" s="772" t="e">
        <f>D7/H7</f>
        <v>#DIV/0!</v>
      </c>
      <c r="AC7" s="772"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4"/>
      <c r="M8" s="1135"/>
      <c r="N8" s="1135"/>
      <c r="O8" s="1135"/>
      <c r="P8" s="3149" t="s">
        <v>2550</v>
      </c>
      <c r="Q8" s="3150"/>
      <c r="R8" s="769" t="s">
        <v>17</v>
      </c>
      <c r="S8" s="770">
        <f t="shared" si="0"/>
        <v>0</v>
      </c>
      <c r="T8" s="769" t="s">
        <v>17</v>
      </c>
      <c r="U8" s="770">
        <f t="shared" si="1"/>
        <v>0</v>
      </c>
      <c r="V8" s="769" t="s">
        <v>17</v>
      </c>
      <c r="W8" s="770">
        <f t="shared" si="2"/>
        <v>0</v>
      </c>
      <c r="X8" s="771"/>
      <c r="Y8" s="3149" t="s">
        <v>2550</v>
      </c>
      <c r="Z8" s="3150"/>
      <c r="AA8" s="772" t="e">
        <f t="shared" ref="AA8:AA40" si="3">D8/F8</f>
        <v>#DIV/0!</v>
      </c>
      <c r="AB8" s="772" t="e">
        <f t="shared" ref="AB8:AB40" si="4">D8/H8</f>
        <v>#DIV/0!</v>
      </c>
      <c r="AC8" s="772" t="e">
        <f t="shared" ref="AC8:AC40" si="5">D8/J8</f>
        <v>#DIV/0!</v>
      </c>
    </row>
    <row r="9" spans="1:29" s="117" customFormat="1">
      <c r="A9" s="416" t="s">
        <v>2551</v>
      </c>
      <c r="B9" s="71" t="s">
        <v>2552</v>
      </c>
      <c r="C9" s="2702"/>
      <c r="D9" s="135">
        <v>100</v>
      </c>
      <c r="E9" s="2702"/>
      <c r="F9" s="135">
        <f>SUMIF(70:70,E9,71:71)-SUMIF(70:70,C9,71:71)+100</f>
        <v>100</v>
      </c>
      <c r="G9" s="2702"/>
      <c r="H9" s="135">
        <f>SUMIF(70:70,G9,71:71)-SUMIF(70:70,C9,71:71)+100</f>
        <v>100</v>
      </c>
      <c r="I9" s="2702"/>
      <c r="J9" s="135">
        <f>SUMIF(70:70,I9,71:71)-SUMIF(70:70,C9,71:71)+100</f>
        <v>100</v>
      </c>
      <c r="K9" s="612"/>
      <c r="L9" s="1134"/>
      <c r="M9" s="1135"/>
      <c r="N9" s="1135"/>
      <c r="O9" s="1136"/>
      <c r="P9" s="3182" t="s">
        <v>2553</v>
      </c>
      <c r="Q9" s="1798" t="str">
        <f t="shared" ref="Q9:Q15" si="6">B9</f>
        <v>用途</v>
      </c>
      <c r="R9" s="769" t="s">
        <v>17</v>
      </c>
      <c r="S9" s="770">
        <f t="shared" si="0"/>
        <v>100</v>
      </c>
      <c r="T9" s="769" t="s">
        <v>17</v>
      </c>
      <c r="U9" s="770">
        <f t="shared" si="1"/>
        <v>100</v>
      </c>
      <c r="V9" s="769" t="s">
        <v>17</v>
      </c>
      <c r="W9" s="770">
        <f t="shared" si="2"/>
        <v>100</v>
      </c>
      <c r="X9" s="771"/>
      <c r="Y9" s="3026" t="s">
        <v>2554</v>
      </c>
      <c r="Z9" s="55" t="str">
        <f t="shared" ref="Z9:Z15" si="7">Q9</f>
        <v>用途</v>
      </c>
      <c r="AA9" s="772">
        <f t="shared" si="3"/>
        <v>1</v>
      </c>
      <c r="AB9" s="772">
        <f t="shared" si="4"/>
        <v>1</v>
      </c>
      <c r="AC9" s="772">
        <f t="shared" si="5"/>
        <v>1</v>
      </c>
    </row>
    <row r="10" spans="1:29" s="428" customFormat="1" ht="27">
      <c r="A10" s="422"/>
      <c r="B10" s="423" t="s">
        <v>2555</v>
      </c>
      <c r="C10" s="433"/>
      <c r="D10" s="136">
        <v>100</v>
      </c>
      <c r="E10" s="433"/>
      <c r="F10" s="136">
        <f>ROUND(100/'数据-取费表'!G16,0)</f>
        <v>104</v>
      </c>
      <c r="G10" s="433"/>
      <c r="H10" s="136">
        <f>ROUND(100/'数据-取费表'!G16,0)</f>
        <v>104</v>
      </c>
      <c r="I10" s="433"/>
      <c r="J10" s="136">
        <f>ROUND(100/'数据-取费表'!G16,0)</f>
        <v>104</v>
      </c>
      <c r="K10" s="673"/>
      <c r="L10" s="1137"/>
      <c r="M10" s="1138"/>
      <c r="N10" s="1138"/>
      <c r="O10" s="1139"/>
      <c r="P10" s="3182"/>
      <c r="Q10" s="1798" t="str">
        <f t="shared" si="6"/>
        <v>土地使用年限（年）</v>
      </c>
      <c r="R10" s="769" t="s">
        <v>17</v>
      </c>
      <c r="S10" s="770">
        <f t="shared" si="0"/>
        <v>104</v>
      </c>
      <c r="T10" s="769" t="s">
        <v>17</v>
      </c>
      <c r="U10" s="770">
        <f t="shared" si="1"/>
        <v>104</v>
      </c>
      <c r="V10" s="769" t="s">
        <v>17</v>
      </c>
      <c r="W10" s="770">
        <f t="shared" si="2"/>
        <v>104</v>
      </c>
      <c r="X10" s="771"/>
      <c r="Y10" s="3026"/>
      <c r="Z10" s="55" t="str">
        <f t="shared" si="7"/>
        <v>土地使用年限（年）</v>
      </c>
      <c r="AA10" s="772">
        <f t="shared" si="3"/>
        <v>0.96153846153846156</v>
      </c>
      <c r="AB10" s="772">
        <f t="shared" si="4"/>
        <v>0.96153846153846156</v>
      </c>
      <c r="AC10" s="772">
        <f t="shared" si="5"/>
        <v>0.96153846153846156</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0"/>
      <c r="M11" s="1133"/>
      <c r="N11" s="1133"/>
      <c r="O11" s="1141"/>
      <c r="P11" s="3182"/>
      <c r="Q11" s="1798" t="str">
        <f t="shared" si="6"/>
        <v>容积率</v>
      </c>
      <c r="R11" s="769" t="s">
        <v>17</v>
      </c>
      <c r="S11" s="770" t="e">
        <f t="shared" si="0"/>
        <v>#N/A</v>
      </c>
      <c r="T11" s="769" t="s">
        <v>17</v>
      </c>
      <c r="U11" s="770" t="e">
        <f t="shared" si="1"/>
        <v>#N/A</v>
      </c>
      <c r="V11" s="769" t="s">
        <v>17</v>
      </c>
      <c r="W11" s="770" t="e">
        <f t="shared" si="2"/>
        <v>#N/A</v>
      </c>
      <c r="X11" s="771"/>
      <c r="Y11" s="3026"/>
      <c r="Z11" s="55" t="str">
        <f t="shared" si="7"/>
        <v>容积率</v>
      </c>
      <c r="AA11" s="772" t="e">
        <f t="shared" si="3"/>
        <v>#N/A</v>
      </c>
      <c r="AB11" s="772" t="e">
        <f t="shared" si="4"/>
        <v>#N/A</v>
      </c>
      <c r="AC11" s="772"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4"/>
      <c r="M12" s="1135"/>
      <c r="N12" s="1135"/>
      <c r="O12" s="1136"/>
      <c r="P12" s="3182"/>
      <c r="Q12" s="1798">
        <f t="shared" si="6"/>
        <v>111</v>
      </c>
      <c r="R12" s="769" t="s">
        <v>17</v>
      </c>
      <c r="S12" s="770">
        <f t="shared" si="0"/>
        <v>100</v>
      </c>
      <c r="T12" s="769" t="s">
        <v>17</v>
      </c>
      <c r="U12" s="770">
        <f t="shared" si="1"/>
        <v>100</v>
      </c>
      <c r="V12" s="769" t="s">
        <v>17</v>
      </c>
      <c r="W12" s="770">
        <f t="shared" si="2"/>
        <v>100</v>
      </c>
      <c r="X12" s="771"/>
      <c r="Y12" s="3026"/>
      <c r="Z12" s="55">
        <f t="shared" si="7"/>
        <v>111</v>
      </c>
      <c r="AA12" s="772">
        <f>D12/F12</f>
        <v>1</v>
      </c>
      <c r="AB12" s="772">
        <f>D12/H12</f>
        <v>1</v>
      </c>
      <c r="AC12" s="772">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2"/>
      <c r="M13" s="1133"/>
      <c r="N13" s="1133"/>
      <c r="O13" s="1141"/>
      <c r="P13" s="3182"/>
      <c r="Q13" s="1798">
        <f t="shared" si="6"/>
        <v>111</v>
      </c>
      <c r="R13" s="769" t="s">
        <v>17</v>
      </c>
      <c r="S13" s="770">
        <f t="shared" si="0"/>
        <v>100</v>
      </c>
      <c r="T13" s="769" t="s">
        <v>17</v>
      </c>
      <c r="U13" s="770">
        <f t="shared" si="1"/>
        <v>100</v>
      </c>
      <c r="V13" s="769" t="s">
        <v>17</v>
      </c>
      <c r="W13" s="770">
        <f t="shared" si="2"/>
        <v>100</v>
      </c>
      <c r="X13" s="771"/>
      <c r="Y13" s="3026"/>
      <c r="Z13" s="55">
        <f t="shared" si="7"/>
        <v>111</v>
      </c>
      <c r="AA13" s="772">
        <f t="shared" si="3"/>
        <v>1</v>
      </c>
      <c r="AB13" s="772">
        <f t="shared" si="4"/>
        <v>1</v>
      </c>
      <c r="AC13" s="772">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2"/>
      <c r="M14" s="1133"/>
      <c r="N14" s="1133"/>
      <c r="O14" s="1141"/>
      <c r="P14" s="3182"/>
      <c r="Q14" s="1798">
        <f t="shared" si="6"/>
        <v>111</v>
      </c>
      <c r="R14" s="769" t="s">
        <v>17</v>
      </c>
      <c r="S14" s="770">
        <f t="shared" si="0"/>
        <v>100</v>
      </c>
      <c r="T14" s="769" t="s">
        <v>17</v>
      </c>
      <c r="U14" s="770">
        <f t="shared" si="1"/>
        <v>100</v>
      </c>
      <c r="V14" s="769" t="s">
        <v>17</v>
      </c>
      <c r="W14" s="770">
        <f t="shared" si="2"/>
        <v>100</v>
      </c>
      <c r="X14" s="771"/>
      <c r="Y14" s="3026"/>
      <c r="Z14" s="55">
        <f t="shared" si="7"/>
        <v>111</v>
      </c>
      <c r="AA14" s="772">
        <f t="shared" si="3"/>
        <v>1</v>
      </c>
      <c r="AB14" s="772">
        <f t="shared" si="4"/>
        <v>1</v>
      </c>
      <c r="AC14" s="772">
        <f t="shared" si="5"/>
        <v>1</v>
      </c>
    </row>
    <row r="15" spans="1:29" ht="57">
      <c r="A15" s="441" t="s">
        <v>2557</v>
      </c>
      <c r="B15" s="630" t="s">
        <v>2795</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2"/>
      <c r="M15" s="1133"/>
      <c r="N15" s="1133"/>
      <c r="O15" s="1141"/>
      <c r="P15" s="3184" t="s">
        <v>2558</v>
      </c>
      <c r="Q15" s="1813" t="str">
        <f t="shared" si="6"/>
        <v>产业集聚程度</v>
      </c>
      <c r="R15" s="773" t="s">
        <v>17</v>
      </c>
      <c r="S15" s="774">
        <f t="shared" si="0"/>
        <v>100</v>
      </c>
      <c r="T15" s="773" t="s">
        <v>17</v>
      </c>
      <c r="U15" s="774">
        <f t="shared" si="1"/>
        <v>100</v>
      </c>
      <c r="V15" s="773" t="s">
        <v>17</v>
      </c>
      <c r="W15" s="774">
        <f t="shared" si="2"/>
        <v>100</v>
      </c>
      <c r="X15" s="1816"/>
      <c r="Y15" s="3184" t="s">
        <v>2558</v>
      </c>
      <c r="Z15" s="1817" t="str">
        <f t="shared" si="7"/>
        <v>产业集聚程度</v>
      </c>
      <c r="AA15" s="1814">
        <f t="shared" si="3"/>
        <v>1</v>
      </c>
      <c r="AB15" s="1814">
        <f t="shared" si="4"/>
        <v>1</v>
      </c>
      <c r="AC15" s="1814">
        <f t="shared" si="5"/>
        <v>1</v>
      </c>
    </row>
    <row r="16" spans="1:29" ht="15">
      <c r="A16" s="429"/>
      <c r="B16" s="631"/>
      <c r="C16" s="448"/>
      <c r="D16" s="449"/>
      <c r="E16" s="2614"/>
      <c r="F16" s="449"/>
      <c r="G16" s="2614"/>
      <c r="H16" s="451"/>
      <c r="I16" s="2614"/>
      <c r="J16" s="449"/>
      <c r="K16" s="673"/>
      <c r="L16" s="1142"/>
      <c r="M16" s="1133"/>
      <c r="N16" s="1133"/>
      <c r="O16" s="1141"/>
      <c r="P16" s="3185"/>
      <c r="Q16" s="1813"/>
      <c r="R16" s="773"/>
      <c r="S16" s="774"/>
      <c r="T16" s="773"/>
      <c r="U16" s="774"/>
      <c r="V16" s="773"/>
      <c r="W16" s="774"/>
      <c r="X16" s="1816"/>
      <c r="Y16" s="3185"/>
      <c r="Z16" s="1817"/>
      <c r="AA16" s="1814">
        <v>1</v>
      </c>
      <c r="AB16" s="1814">
        <v>1</v>
      </c>
      <c r="AC16" s="1814">
        <v>1</v>
      </c>
    </row>
    <row r="17" spans="1:29" ht="85.5">
      <c r="A17" s="429"/>
      <c r="B17" s="632" t="s">
        <v>2706</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2"/>
      <c r="M17" s="1133"/>
      <c r="N17" s="1133"/>
      <c r="O17" s="1141"/>
      <c r="P17" s="3185"/>
      <c r="Q17" s="1813" t="str">
        <f>B17</f>
        <v>交通便捷度</v>
      </c>
      <c r="R17" s="773" t="s">
        <v>17</v>
      </c>
      <c r="S17" s="774">
        <f>F17</f>
        <v>100</v>
      </c>
      <c r="T17" s="773" t="s">
        <v>17</v>
      </c>
      <c r="U17" s="774">
        <f>H17</f>
        <v>100</v>
      </c>
      <c r="V17" s="773" t="s">
        <v>17</v>
      </c>
      <c r="W17" s="774">
        <f>J17</f>
        <v>100</v>
      </c>
      <c r="X17" s="1816"/>
      <c r="Y17" s="3185"/>
      <c r="Z17" s="1817" t="str">
        <f>Q17</f>
        <v>交通便捷度</v>
      </c>
      <c r="AA17" s="1814">
        <f t="shared" si="3"/>
        <v>1</v>
      </c>
      <c r="AB17" s="1814">
        <f t="shared" si="4"/>
        <v>1</v>
      </c>
      <c r="AC17" s="1814">
        <f t="shared" si="5"/>
        <v>1</v>
      </c>
    </row>
    <row r="18" spans="1:29" ht="15">
      <c r="A18" s="429"/>
      <c r="B18" s="633"/>
      <c r="C18" s="448"/>
      <c r="D18" s="449"/>
      <c r="E18" s="2608"/>
      <c r="F18" s="449"/>
      <c r="G18" s="2608"/>
      <c r="H18" s="449"/>
      <c r="I18" s="2607"/>
      <c r="J18" s="449"/>
      <c r="K18" s="673"/>
      <c r="L18" s="1142"/>
      <c r="M18" s="1133"/>
      <c r="N18" s="1133"/>
      <c r="O18" s="1141"/>
      <c r="P18" s="3185"/>
      <c r="Q18" s="1813"/>
      <c r="R18" s="773"/>
      <c r="S18" s="774"/>
      <c r="T18" s="773"/>
      <c r="U18" s="774"/>
      <c r="V18" s="773"/>
      <c r="W18" s="774"/>
      <c r="X18" s="1816"/>
      <c r="Y18" s="3185"/>
      <c r="Z18" s="1817"/>
      <c r="AA18" s="1814">
        <v>1</v>
      </c>
      <c r="AB18" s="1814">
        <v>1</v>
      </c>
      <c r="AC18" s="1814">
        <v>1</v>
      </c>
    </row>
    <row r="19" spans="1:29" ht="15">
      <c r="A19" s="429"/>
      <c r="B19" s="632" t="s">
        <v>2745</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2"/>
      <c r="M19" s="1133"/>
      <c r="N19" s="1133"/>
      <c r="O19" s="1141"/>
      <c r="P19" s="3185"/>
      <c r="Q19" s="1813" t="str">
        <f t="shared" ref="Q19:Q33" si="8">B19</f>
        <v>区域土地利用方向</v>
      </c>
      <c r="R19" s="773" t="s">
        <v>17</v>
      </c>
      <c r="S19" s="774">
        <f>F19</f>
        <v>100</v>
      </c>
      <c r="T19" s="773" t="s">
        <v>17</v>
      </c>
      <c r="U19" s="774">
        <f>H19</f>
        <v>100</v>
      </c>
      <c r="V19" s="773" t="s">
        <v>17</v>
      </c>
      <c r="W19" s="774">
        <f>J19</f>
        <v>100</v>
      </c>
      <c r="X19" s="1816"/>
      <c r="Y19" s="3185"/>
      <c r="Z19" s="1817" t="str">
        <f>Q19</f>
        <v>区域土地利用方向</v>
      </c>
      <c r="AA19" s="1814">
        <f t="shared" si="3"/>
        <v>1</v>
      </c>
      <c r="AB19" s="1814">
        <f t="shared" si="4"/>
        <v>1</v>
      </c>
      <c r="AC19" s="1814">
        <f t="shared" si="5"/>
        <v>1</v>
      </c>
    </row>
    <row r="20" spans="1:29" ht="15">
      <c r="A20" s="405"/>
      <c r="B20" s="633"/>
      <c r="C20" s="448"/>
      <c r="D20" s="449"/>
      <c r="E20" s="2608"/>
      <c r="F20" s="449"/>
      <c r="G20" s="2608"/>
      <c r="H20" s="449"/>
      <c r="I20" s="2608"/>
      <c r="J20" s="449"/>
      <c r="K20" s="811"/>
      <c r="L20" s="1142"/>
      <c r="M20" s="1133"/>
      <c r="N20" s="1133"/>
      <c r="O20" s="1141"/>
      <c r="P20" s="3185"/>
      <c r="Q20" s="1813"/>
      <c r="R20" s="773"/>
      <c r="S20" s="774"/>
      <c r="T20" s="773"/>
      <c r="U20" s="774"/>
      <c r="V20" s="773"/>
      <c r="W20" s="774"/>
      <c r="X20" s="1816"/>
      <c r="Y20" s="3185"/>
      <c r="Z20" s="1817"/>
      <c r="AA20" s="1814"/>
      <c r="AB20" s="1814"/>
      <c r="AC20" s="1814"/>
    </row>
    <row r="21" spans="1:29" ht="71.25">
      <c r="A21" s="405"/>
      <c r="B21" s="632" t="s">
        <v>2796</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2"/>
      <c r="M21" s="1133"/>
      <c r="N21" s="1133"/>
      <c r="O21" s="1141"/>
      <c r="P21" s="3185"/>
      <c r="Q21" s="1813" t="str">
        <f t="shared" si="8"/>
        <v>环境状况</v>
      </c>
      <c r="R21" s="773" t="s">
        <v>17</v>
      </c>
      <c r="S21" s="774">
        <f>F21</f>
        <v>100</v>
      </c>
      <c r="T21" s="773" t="s">
        <v>17</v>
      </c>
      <c r="U21" s="774">
        <f>H21</f>
        <v>100</v>
      </c>
      <c r="V21" s="773" t="s">
        <v>17</v>
      </c>
      <c r="W21" s="774">
        <f>J21</f>
        <v>100</v>
      </c>
      <c r="X21" s="1816"/>
      <c r="Y21" s="3185"/>
      <c r="Z21" s="1817" t="str">
        <f>Q21</f>
        <v>环境状况</v>
      </c>
      <c r="AA21" s="1814">
        <f t="shared" si="3"/>
        <v>1</v>
      </c>
      <c r="AB21" s="1814">
        <f t="shared" si="4"/>
        <v>1</v>
      </c>
      <c r="AC21" s="1814">
        <f t="shared" si="5"/>
        <v>1</v>
      </c>
    </row>
    <row r="22" spans="1:29" ht="15">
      <c r="A22" s="405"/>
      <c r="B22" s="633"/>
      <c r="C22" s="448"/>
      <c r="D22" s="449"/>
      <c r="E22" s="2614"/>
      <c r="F22" s="449"/>
      <c r="G22" s="2614"/>
      <c r="H22" s="449"/>
      <c r="I22" s="448"/>
      <c r="J22" s="449"/>
      <c r="K22" s="673"/>
      <c r="L22" s="1142"/>
      <c r="M22" s="1133"/>
      <c r="N22" s="1133"/>
      <c r="O22" s="1141"/>
      <c r="P22" s="3185"/>
      <c r="Q22" s="1813"/>
      <c r="R22" s="773"/>
      <c r="S22" s="774"/>
      <c r="T22" s="773"/>
      <c r="U22" s="774"/>
      <c r="V22" s="773"/>
      <c r="W22" s="774"/>
      <c r="X22" s="1816"/>
      <c r="Y22" s="3185"/>
      <c r="Z22" s="1817"/>
      <c r="AA22" s="1814">
        <v>1</v>
      </c>
      <c r="AB22" s="1814">
        <v>1</v>
      </c>
      <c r="AC22" s="1814">
        <v>1</v>
      </c>
    </row>
    <row r="23" spans="1:29" s="117" customFormat="1" ht="42.75">
      <c r="A23" s="650"/>
      <c r="B23" s="634" t="s">
        <v>2651</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4"/>
      <c r="M23" s="1135"/>
      <c r="N23" s="1135"/>
      <c r="O23" s="1136"/>
      <c r="P23" s="3185"/>
      <c r="Q23" s="1798" t="str">
        <f t="shared" si="8"/>
        <v>公共配套设施</v>
      </c>
      <c r="R23" s="769" t="s">
        <v>17</v>
      </c>
      <c r="S23" s="770">
        <f>F23</f>
        <v>100</v>
      </c>
      <c r="T23" s="769" t="s">
        <v>17</v>
      </c>
      <c r="U23" s="770">
        <f>H23</f>
        <v>100</v>
      </c>
      <c r="V23" s="769" t="s">
        <v>17</v>
      </c>
      <c r="W23" s="770">
        <f>J23</f>
        <v>100</v>
      </c>
      <c r="X23" s="771"/>
      <c r="Y23" s="3185"/>
      <c r="Z23" s="55" t="str">
        <f>Q23</f>
        <v>公共配套设施</v>
      </c>
      <c r="AA23" s="1814">
        <f>D23/F23</f>
        <v>1</v>
      </c>
      <c r="AB23" s="1814">
        <f>D23/H23</f>
        <v>1</v>
      </c>
      <c r="AC23" s="1814">
        <f>D23/J23</f>
        <v>1</v>
      </c>
    </row>
    <row r="24" spans="1:29" s="117" customFormat="1" ht="15">
      <c r="A24" s="650"/>
      <c r="B24" s="633"/>
      <c r="C24" s="2703"/>
      <c r="D24" s="449"/>
      <c r="E24" s="2614"/>
      <c r="F24" s="449"/>
      <c r="G24" s="2614"/>
      <c r="H24" s="449"/>
      <c r="I24" s="448"/>
      <c r="J24" s="449"/>
      <c r="K24" s="673"/>
      <c r="L24" s="1134"/>
      <c r="M24" s="1135"/>
      <c r="N24" s="1135"/>
      <c r="O24" s="1136"/>
      <c r="P24" s="3185"/>
      <c r="Q24" s="1798"/>
      <c r="R24" s="769"/>
      <c r="S24" s="770"/>
      <c r="T24" s="769"/>
      <c r="U24" s="770"/>
      <c r="V24" s="769"/>
      <c r="W24" s="770"/>
      <c r="X24" s="771"/>
      <c r="Y24" s="3185"/>
      <c r="Z24" s="55"/>
      <c r="AA24" s="772">
        <v>1</v>
      </c>
      <c r="AB24" s="772">
        <v>1</v>
      </c>
      <c r="AC24" s="772">
        <v>1</v>
      </c>
    </row>
    <row r="25" spans="1:29" s="117" customFormat="1" ht="28.5">
      <c r="A25" s="650"/>
      <c r="B25" s="634" t="s">
        <v>2652</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4"/>
      <c r="M25" s="1135"/>
      <c r="N25" s="1135"/>
      <c r="O25" s="1136"/>
      <c r="P25" s="3185"/>
      <c r="Q25" s="1798" t="str">
        <f>B25</f>
        <v>基础设施水平</v>
      </c>
      <c r="R25" s="769" t="s">
        <v>17</v>
      </c>
      <c r="S25" s="770">
        <f>F25</f>
        <v>100</v>
      </c>
      <c r="T25" s="769" t="s">
        <v>17</v>
      </c>
      <c r="U25" s="770">
        <f>H25</f>
        <v>100</v>
      </c>
      <c r="V25" s="769" t="s">
        <v>17</v>
      </c>
      <c r="W25" s="770">
        <f>J25</f>
        <v>100</v>
      </c>
      <c r="X25" s="771"/>
      <c r="Y25" s="3185"/>
      <c r="Z25" s="55" t="str">
        <f>Q25</f>
        <v>基础设施水平</v>
      </c>
      <c r="AA25" s="1814">
        <f>D25/F25</f>
        <v>1</v>
      </c>
      <c r="AB25" s="1814">
        <f>D25/H25</f>
        <v>1</v>
      </c>
      <c r="AC25" s="1814">
        <f>D25/J25</f>
        <v>1</v>
      </c>
    </row>
    <row r="26" spans="1:29" s="117" customFormat="1" ht="15">
      <c r="A26" s="650"/>
      <c r="B26" s="633"/>
      <c r="C26" s="2703"/>
      <c r="D26" s="449"/>
      <c r="E26" s="2704"/>
      <c r="F26" s="449"/>
      <c r="G26" s="2704"/>
      <c r="H26" s="449"/>
      <c r="I26" s="2704"/>
      <c r="J26" s="449"/>
      <c r="K26" s="673"/>
      <c r="L26" s="1134"/>
      <c r="M26" s="1135"/>
      <c r="N26" s="1135"/>
      <c r="O26" s="1136"/>
      <c r="P26" s="3185"/>
      <c r="Q26" s="1798"/>
      <c r="R26" s="769"/>
      <c r="S26" s="770"/>
      <c r="T26" s="769"/>
      <c r="U26" s="770"/>
      <c r="V26" s="769"/>
      <c r="W26" s="770"/>
      <c r="X26" s="771"/>
      <c r="Y26" s="3185"/>
      <c r="Z26" s="55"/>
      <c r="AA26" s="772">
        <v>1</v>
      </c>
      <c r="AB26" s="772">
        <v>1</v>
      </c>
      <c r="AC26" s="772">
        <v>1</v>
      </c>
    </row>
    <row r="27" spans="1:29" ht="15">
      <c r="A27" s="429"/>
      <c r="B27" s="633" t="s">
        <v>2653</v>
      </c>
      <c r="C27" s="617"/>
      <c r="D27" s="436">
        <v>100</v>
      </c>
      <c r="E27" s="635"/>
      <c r="F27" s="436">
        <f>SUMIF(95:95,E27,96:96)-SUMIF(95:95,C27,96:96)+100</f>
        <v>100</v>
      </c>
      <c r="G27" s="635"/>
      <c r="H27" s="436">
        <f>SUMIF(95:95,G27,96:96)-SUMIF(95:95,C27,96:96)+100</f>
        <v>100</v>
      </c>
      <c r="I27" s="635"/>
      <c r="J27" s="436">
        <f>SUMIF(95:95,I27,96:96)-SUMIF(95:95,C27,96:96)+100</f>
        <v>100</v>
      </c>
      <c r="K27" s="674"/>
      <c r="L27" s="1142"/>
      <c r="M27" s="1133"/>
      <c r="N27" s="1133"/>
      <c r="O27" s="1141"/>
      <c r="P27" s="3185"/>
      <c r="Q27" s="1813" t="str">
        <f t="shared" si="8"/>
        <v>临街状况</v>
      </c>
      <c r="R27" s="773" t="s">
        <v>17</v>
      </c>
      <c r="S27" s="774">
        <f t="shared" ref="S27:S40" si="9">F27</f>
        <v>100</v>
      </c>
      <c r="T27" s="773" t="s">
        <v>17</v>
      </c>
      <c r="U27" s="774">
        <f t="shared" ref="U27:U40" si="10">H27</f>
        <v>100</v>
      </c>
      <c r="V27" s="773" t="s">
        <v>17</v>
      </c>
      <c r="W27" s="774">
        <f t="shared" ref="W27:W40" si="11">J27</f>
        <v>100</v>
      </c>
      <c r="X27" s="1816"/>
      <c r="Y27" s="3185"/>
      <c r="Z27" s="1817" t="str">
        <f t="shared" ref="Z27:Z40" si="12">Q27</f>
        <v>临街状况</v>
      </c>
      <c r="AA27" s="1814">
        <f t="shared" si="3"/>
        <v>1</v>
      </c>
      <c r="AB27" s="1814">
        <f t="shared" si="4"/>
        <v>1</v>
      </c>
      <c r="AC27" s="1814">
        <f t="shared" si="5"/>
        <v>1</v>
      </c>
    </row>
    <row r="28" spans="1:29" ht="27">
      <c r="A28" s="429"/>
      <c r="B28" s="634" t="s">
        <v>2688</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2"/>
      <c r="M28" s="1133"/>
      <c r="N28" s="1133"/>
      <c r="O28" s="1141"/>
      <c r="P28" s="3185"/>
      <c r="Q28" s="1813" t="str">
        <f t="shared" si="8"/>
        <v>毗邻道路的类型与等级</v>
      </c>
      <c r="R28" s="773" t="s">
        <v>17</v>
      </c>
      <c r="S28" s="774">
        <f t="shared" si="9"/>
        <v>100</v>
      </c>
      <c r="T28" s="773" t="s">
        <v>17</v>
      </c>
      <c r="U28" s="774">
        <f t="shared" si="10"/>
        <v>100</v>
      </c>
      <c r="V28" s="773" t="s">
        <v>17</v>
      </c>
      <c r="W28" s="774">
        <f t="shared" si="11"/>
        <v>100</v>
      </c>
      <c r="X28" s="1816"/>
      <c r="Y28" s="3185"/>
      <c r="Z28" s="1817" t="str">
        <f t="shared" si="12"/>
        <v>毗邻道路的类型与等级</v>
      </c>
      <c r="AA28" s="1814">
        <f t="shared" si="3"/>
        <v>1</v>
      </c>
      <c r="AB28" s="1814">
        <f t="shared" si="4"/>
        <v>1</v>
      </c>
      <c r="AC28" s="1814">
        <f t="shared" si="5"/>
        <v>1</v>
      </c>
    </row>
    <row r="29" spans="1:29" ht="15">
      <c r="A29" s="429"/>
      <c r="B29" s="633"/>
      <c r="C29" s="448"/>
      <c r="D29" s="449"/>
      <c r="E29" s="2614"/>
      <c r="F29" s="449"/>
      <c r="G29" s="2614"/>
      <c r="H29" s="449"/>
      <c r="I29" s="2614"/>
      <c r="J29" s="449"/>
      <c r="K29" s="614"/>
      <c r="L29" s="1142"/>
      <c r="M29" s="1133"/>
      <c r="N29" s="1133"/>
      <c r="O29" s="1141"/>
      <c r="P29" s="3185"/>
      <c r="Q29" s="1813"/>
      <c r="R29" s="773"/>
      <c r="S29" s="774"/>
      <c r="T29" s="773"/>
      <c r="U29" s="774"/>
      <c r="V29" s="773"/>
      <c r="W29" s="774"/>
      <c r="X29" s="1816"/>
      <c r="Y29" s="3185"/>
      <c r="Z29" s="1817"/>
      <c r="AA29" s="1814">
        <v>1</v>
      </c>
      <c r="AB29" s="1814">
        <v>1</v>
      </c>
      <c r="AC29" s="1814">
        <v>1</v>
      </c>
    </row>
    <row r="30" spans="1:29" ht="15">
      <c r="A30" s="429"/>
      <c r="B30" s="655" t="s">
        <v>2747</v>
      </c>
      <c r="C30" s="1391">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2"/>
      <c r="M30" s="1133"/>
      <c r="N30" s="1133"/>
      <c r="O30" s="1141"/>
      <c r="P30" s="3185"/>
      <c r="Q30" s="1813" t="str">
        <f t="shared" si="8"/>
        <v>土地级别</v>
      </c>
      <c r="R30" s="773" t="s">
        <v>17</v>
      </c>
      <c r="S30" s="774">
        <f t="shared" si="9"/>
        <v>100</v>
      </c>
      <c r="T30" s="773" t="s">
        <v>17</v>
      </c>
      <c r="U30" s="774">
        <f t="shared" si="10"/>
        <v>100</v>
      </c>
      <c r="V30" s="773" t="s">
        <v>17</v>
      </c>
      <c r="W30" s="774">
        <f t="shared" si="11"/>
        <v>100</v>
      </c>
      <c r="X30" s="1816"/>
      <c r="Y30" s="3185"/>
      <c r="Z30" s="1817" t="str">
        <f t="shared" si="12"/>
        <v>土地级别</v>
      </c>
      <c r="AA30" s="1814">
        <f t="shared" si="3"/>
        <v>1</v>
      </c>
      <c r="AB30" s="1814">
        <f t="shared" si="4"/>
        <v>1</v>
      </c>
      <c r="AC30" s="1814">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2"/>
      <c r="M31" s="1133"/>
      <c r="N31" s="1133"/>
      <c r="O31" s="1141"/>
      <c r="P31" s="3185"/>
      <c r="Q31" s="1813">
        <f t="shared" si="8"/>
        <v>111</v>
      </c>
      <c r="R31" s="773" t="s">
        <v>17</v>
      </c>
      <c r="S31" s="774">
        <f t="shared" si="9"/>
        <v>100</v>
      </c>
      <c r="T31" s="773" t="s">
        <v>17</v>
      </c>
      <c r="U31" s="774">
        <f t="shared" si="10"/>
        <v>100</v>
      </c>
      <c r="V31" s="773" t="s">
        <v>17</v>
      </c>
      <c r="W31" s="774">
        <f t="shared" si="11"/>
        <v>100</v>
      </c>
      <c r="X31" s="1816"/>
      <c r="Y31" s="3185"/>
      <c r="Z31" s="1817">
        <f t="shared" si="12"/>
        <v>111</v>
      </c>
      <c r="AA31" s="1814">
        <f t="shared" si="3"/>
        <v>1</v>
      </c>
      <c r="AB31" s="1814">
        <f t="shared" si="4"/>
        <v>1</v>
      </c>
      <c r="AC31" s="1814">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2"/>
      <c r="M32" s="1133"/>
      <c r="N32" s="1133"/>
      <c r="O32" s="1141"/>
      <c r="P32" s="3243" t="s">
        <v>2563</v>
      </c>
      <c r="Q32" s="1813">
        <f t="shared" si="8"/>
        <v>111</v>
      </c>
      <c r="R32" s="773" t="s">
        <v>17</v>
      </c>
      <c r="S32" s="774">
        <f t="shared" si="9"/>
        <v>100</v>
      </c>
      <c r="T32" s="773" t="s">
        <v>17</v>
      </c>
      <c r="U32" s="774">
        <f t="shared" si="10"/>
        <v>100</v>
      </c>
      <c r="V32" s="773" t="s">
        <v>17</v>
      </c>
      <c r="W32" s="774">
        <f t="shared" si="11"/>
        <v>100</v>
      </c>
      <c r="X32" s="1816"/>
      <c r="Y32" s="3189" t="s">
        <v>2563</v>
      </c>
      <c r="Z32" s="1817">
        <f t="shared" si="12"/>
        <v>111</v>
      </c>
      <c r="AA32" s="1814">
        <f t="shared" si="3"/>
        <v>1</v>
      </c>
      <c r="AB32" s="1814">
        <f t="shared" si="4"/>
        <v>1</v>
      </c>
      <c r="AC32" s="1814">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0"/>
      <c r="M33" s="1143"/>
      <c r="N33" s="1143"/>
      <c r="O33" s="1144"/>
      <c r="P33" s="3189"/>
      <c r="Q33" s="1813">
        <f t="shared" si="8"/>
        <v>111</v>
      </c>
      <c r="R33" s="776" t="s">
        <v>17</v>
      </c>
      <c r="S33" s="777">
        <f t="shared" si="9"/>
        <v>100</v>
      </c>
      <c r="T33" s="776" t="s">
        <v>17</v>
      </c>
      <c r="U33" s="777">
        <f t="shared" si="10"/>
        <v>100</v>
      </c>
      <c r="V33" s="776" t="s">
        <v>17</v>
      </c>
      <c r="W33" s="777">
        <f t="shared" si="11"/>
        <v>100</v>
      </c>
      <c r="X33" s="778"/>
      <c r="Y33" s="3189"/>
      <c r="Z33" s="779">
        <f t="shared" si="12"/>
        <v>111</v>
      </c>
      <c r="AA33" s="1814">
        <f t="shared" si="3"/>
        <v>1</v>
      </c>
      <c r="AB33" s="1814">
        <f t="shared" si="4"/>
        <v>1</v>
      </c>
      <c r="AC33" s="1814">
        <f t="shared" si="5"/>
        <v>1</v>
      </c>
    </row>
    <row r="34" spans="1:29" ht="15">
      <c r="A34" s="441" t="s">
        <v>2561</v>
      </c>
      <c r="B34" s="457" t="s">
        <v>2748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2"/>
      <c r="M34" s="1133"/>
      <c r="N34" s="1133"/>
      <c r="O34" s="1141"/>
      <c r="P34" s="3189"/>
      <c r="Q34" s="1813" t="str">
        <f>B34</f>
        <v>宗地面积</v>
      </c>
      <c r="R34" s="773" t="s">
        <v>17</v>
      </c>
      <c r="S34" s="774" t="e">
        <f t="shared" si="9"/>
        <v>#N/A</v>
      </c>
      <c r="T34" s="773" t="s">
        <v>17</v>
      </c>
      <c r="U34" s="774" t="e">
        <f t="shared" si="10"/>
        <v>#N/A</v>
      </c>
      <c r="V34" s="773" t="s">
        <v>17</v>
      </c>
      <c r="W34" s="774" t="e">
        <f t="shared" si="11"/>
        <v>#N/A</v>
      </c>
      <c r="X34" s="1816"/>
      <c r="Y34" s="3189"/>
      <c r="Z34" s="1817" t="str">
        <f t="shared" si="12"/>
        <v>宗地面积</v>
      </c>
      <c r="AA34" s="1814" t="e">
        <f t="shared" si="3"/>
        <v>#N/A</v>
      </c>
      <c r="AB34" s="1814" t="e">
        <f t="shared" si="4"/>
        <v>#N/A</v>
      </c>
      <c r="AC34" s="1814" t="e">
        <f t="shared" si="5"/>
        <v>#N/A</v>
      </c>
    </row>
    <row r="35" spans="1:29" ht="15">
      <c r="A35" s="473"/>
      <c r="B35" s="423" t="s">
        <v>2749</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2"/>
      <c r="M35" s="1133"/>
      <c r="N35" s="1133"/>
      <c r="O35" s="1141"/>
      <c r="P35" s="3189"/>
      <c r="Q35" s="1813" t="str">
        <f t="shared" ref="Q35:Q40" si="13">B35</f>
        <v>宗地形状</v>
      </c>
      <c r="R35" s="773" t="s">
        <v>17</v>
      </c>
      <c r="S35" s="774">
        <f t="shared" si="9"/>
        <v>100</v>
      </c>
      <c r="T35" s="773" t="s">
        <v>17</v>
      </c>
      <c r="U35" s="774">
        <f t="shared" si="10"/>
        <v>100</v>
      </c>
      <c r="V35" s="773" t="s">
        <v>17</v>
      </c>
      <c r="W35" s="774">
        <f t="shared" si="11"/>
        <v>100</v>
      </c>
      <c r="X35" s="1816"/>
      <c r="Y35" s="3189"/>
      <c r="Z35" s="1817" t="str">
        <f t="shared" si="12"/>
        <v>宗地形状</v>
      </c>
      <c r="AA35" s="1814">
        <f t="shared" si="3"/>
        <v>1</v>
      </c>
      <c r="AB35" s="1814">
        <f t="shared" si="4"/>
        <v>1</v>
      </c>
      <c r="AC35" s="1814">
        <f t="shared" si="5"/>
        <v>1</v>
      </c>
    </row>
    <row r="36" spans="1:29" s="117" customFormat="1" ht="15">
      <c r="A36" s="474"/>
      <c r="B36" s="423" t="s">
        <v>2751</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4"/>
      <c r="M36" s="1135"/>
      <c r="N36" s="1135"/>
      <c r="O36" s="1136"/>
      <c r="P36" s="3189"/>
      <c r="Q36" s="1813" t="str">
        <f t="shared" si="13"/>
        <v>宗地开发程度</v>
      </c>
      <c r="R36" s="769" t="s">
        <v>17</v>
      </c>
      <c r="S36" s="770">
        <f t="shared" si="9"/>
        <v>100</v>
      </c>
      <c r="T36" s="769" t="s">
        <v>17</v>
      </c>
      <c r="U36" s="770">
        <f t="shared" si="10"/>
        <v>100</v>
      </c>
      <c r="V36" s="769" t="s">
        <v>17</v>
      </c>
      <c r="W36" s="770">
        <f t="shared" si="11"/>
        <v>100</v>
      </c>
      <c r="X36" s="771"/>
      <c r="Y36" s="3189"/>
      <c r="Z36" s="55" t="str">
        <f t="shared" si="12"/>
        <v>宗地开发程度</v>
      </c>
      <c r="AA36" s="772">
        <f t="shared" si="3"/>
        <v>1</v>
      </c>
      <c r="AB36" s="772">
        <f t="shared" si="4"/>
        <v>1</v>
      </c>
      <c r="AC36" s="772">
        <f t="shared" si="5"/>
        <v>1</v>
      </c>
    </row>
    <row r="37" spans="1:29" ht="15">
      <c r="A37" s="473"/>
      <c r="B37" s="423" t="s">
        <v>2752</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2"/>
      <c r="M37" s="1133"/>
      <c r="N37" s="1133"/>
      <c r="O37" s="1141"/>
      <c r="P37" s="3189" t="s">
        <v>2563</v>
      </c>
      <c r="Q37" s="1813" t="str">
        <f t="shared" si="13"/>
        <v>工程地质条件</v>
      </c>
      <c r="R37" s="773" t="s">
        <v>17</v>
      </c>
      <c r="S37" s="774">
        <f t="shared" si="9"/>
        <v>100</v>
      </c>
      <c r="T37" s="773" t="s">
        <v>17</v>
      </c>
      <c r="U37" s="774">
        <f t="shared" si="10"/>
        <v>100</v>
      </c>
      <c r="V37" s="773" t="s">
        <v>17</v>
      </c>
      <c r="W37" s="774">
        <f t="shared" si="11"/>
        <v>100</v>
      </c>
      <c r="X37" s="1816"/>
      <c r="Y37" s="3189" t="s">
        <v>2563</v>
      </c>
      <c r="Z37" s="1817" t="str">
        <f t="shared" si="12"/>
        <v>工程地质条件</v>
      </c>
      <c r="AA37" s="1814">
        <f t="shared" si="3"/>
        <v>1</v>
      </c>
      <c r="AB37" s="1814">
        <f t="shared" si="4"/>
        <v>1</v>
      </c>
      <c r="AC37" s="1814">
        <f t="shared" si="5"/>
        <v>1</v>
      </c>
    </row>
    <row r="38" spans="1:29" ht="15">
      <c r="A38" s="473"/>
      <c r="B38" s="1389">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2"/>
      <c r="M38" s="1133"/>
      <c r="N38" s="1133"/>
      <c r="O38" s="1141"/>
      <c r="P38" s="3189"/>
      <c r="Q38" s="1813">
        <f t="shared" si="13"/>
        <v>111</v>
      </c>
      <c r="R38" s="773" t="s">
        <v>17</v>
      </c>
      <c r="S38" s="774">
        <f t="shared" si="9"/>
        <v>100</v>
      </c>
      <c r="T38" s="773" t="s">
        <v>17</v>
      </c>
      <c r="U38" s="774">
        <f t="shared" si="10"/>
        <v>100</v>
      </c>
      <c r="V38" s="773" t="s">
        <v>17</v>
      </c>
      <c r="W38" s="774">
        <f t="shared" si="11"/>
        <v>100</v>
      </c>
      <c r="X38" s="1816"/>
      <c r="Y38" s="3189"/>
      <c r="Z38" s="1817">
        <f t="shared" si="12"/>
        <v>111</v>
      </c>
      <c r="AA38" s="1814">
        <f t="shared" si="3"/>
        <v>1</v>
      </c>
      <c r="AB38" s="1814">
        <f t="shared" si="4"/>
        <v>1</v>
      </c>
      <c r="AC38" s="1814">
        <f t="shared" si="5"/>
        <v>1</v>
      </c>
    </row>
    <row r="39" spans="1:29" ht="15">
      <c r="A39" s="473"/>
      <c r="B39" s="1389">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2"/>
      <c r="M39" s="1133"/>
      <c r="N39" s="1133"/>
      <c r="O39" s="1141"/>
      <c r="P39" s="3189"/>
      <c r="Q39" s="1813">
        <f t="shared" si="13"/>
        <v>111</v>
      </c>
      <c r="R39" s="773" t="s">
        <v>17</v>
      </c>
      <c r="S39" s="774">
        <f t="shared" si="9"/>
        <v>100</v>
      </c>
      <c r="T39" s="773" t="s">
        <v>17</v>
      </c>
      <c r="U39" s="774">
        <f t="shared" si="10"/>
        <v>100</v>
      </c>
      <c r="V39" s="773" t="s">
        <v>17</v>
      </c>
      <c r="W39" s="774">
        <f t="shared" si="11"/>
        <v>100</v>
      </c>
      <c r="X39" s="1816"/>
      <c r="Y39" s="3189"/>
      <c r="Z39" s="1817">
        <f t="shared" si="12"/>
        <v>111</v>
      </c>
      <c r="AA39" s="1814">
        <f t="shared" si="3"/>
        <v>1</v>
      </c>
      <c r="AB39" s="1814">
        <f t="shared" si="4"/>
        <v>1</v>
      </c>
      <c r="AC39" s="1814">
        <f t="shared" si="5"/>
        <v>1</v>
      </c>
    </row>
    <row r="40" spans="1:29" s="472" customFormat="1" ht="15.75" thickBot="1">
      <c r="A40" s="469"/>
      <c r="B40" s="1389">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0"/>
      <c r="M40" s="1143"/>
      <c r="N40" s="1143"/>
      <c r="O40" s="1144"/>
      <c r="P40" s="3189"/>
      <c r="Q40" s="1813">
        <f t="shared" si="13"/>
        <v>111</v>
      </c>
      <c r="R40" s="776" t="s">
        <v>17</v>
      </c>
      <c r="S40" s="777">
        <f t="shared" si="9"/>
        <v>100</v>
      </c>
      <c r="T40" s="776" t="s">
        <v>17</v>
      </c>
      <c r="U40" s="777">
        <f t="shared" si="10"/>
        <v>100</v>
      </c>
      <c r="V40" s="776" t="s">
        <v>17</v>
      </c>
      <c r="W40" s="777">
        <f t="shared" si="11"/>
        <v>100</v>
      </c>
      <c r="X40" s="778"/>
      <c r="Y40" s="3189"/>
      <c r="Z40" s="779">
        <f t="shared" si="12"/>
        <v>111</v>
      </c>
      <c r="AA40" s="1814">
        <f t="shared" si="3"/>
        <v>1</v>
      </c>
      <c r="AB40" s="1814">
        <f t="shared" si="4"/>
        <v>1</v>
      </c>
      <c r="AC40" s="1814">
        <f t="shared" si="5"/>
        <v>1</v>
      </c>
    </row>
    <row r="41" spans="1:29" ht="15">
      <c r="A41" s="480" t="s">
        <v>2717</v>
      </c>
      <c r="B41" s="2707" t="s">
        <v>2797</v>
      </c>
      <c r="C41" s="683" t="s">
        <v>1</v>
      </c>
      <c r="D41" s="482"/>
      <c r="E41" s="483"/>
      <c r="F41" s="484"/>
      <c r="G41" s="485"/>
      <c r="H41" s="486"/>
      <c r="I41" s="483"/>
      <c r="J41" s="486"/>
      <c r="K41" s="782"/>
      <c r="L41" s="1145"/>
      <c r="M41" s="1133"/>
      <c r="N41" s="1133"/>
      <c r="O41" s="1146"/>
      <c r="P41" s="3182" t="str">
        <f>A41</f>
        <v>成交单价</v>
      </c>
      <c r="Q41" s="3182"/>
      <c r="R41" s="3177">
        <f>E41</f>
        <v>0</v>
      </c>
      <c r="S41" s="3177"/>
      <c r="T41" s="3177">
        <f>G41</f>
        <v>0</v>
      </c>
      <c r="U41" s="3177"/>
      <c r="V41" s="3177">
        <f>I41</f>
        <v>0</v>
      </c>
      <c r="W41" s="3177"/>
      <c r="X41" s="758"/>
      <c r="Y41" s="780"/>
      <c r="Z41" s="758"/>
      <c r="AA41" s="758"/>
      <c r="AB41" s="758"/>
      <c r="AC41" s="758"/>
    </row>
    <row r="42" spans="1:29" ht="15.75" thickBot="1">
      <c r="A42" s="487" t="s">
        <v>2666</v>
      </c>
      <c r="B42" s="684"/>
      <c r="C42" s="491" t="e">
        <f>R43</f>
        <v>#DIV/0!</v>
      </c>
      <c r="D42" s="490"/>
      <c r="E42" s="491" t="e">
        <f>R42</f>
        <v>#DIV/0!</v>
      </c>
      <c r="F42" s="492"/>
      <c r="G42" s="489" t="e">
        <f>T42</f>
        <v>#DIV/0!</v>
      </c>
      <c r="H42" s="490"/>
      <c r="I42" s="491" t="e">
        <f>V42</f>
        <v>#DIV/0!</v>
      </c>
      <c r="J42" s="490"/>
      <c r="K42" s="783"/>
      <c r="L42" s="1145"/>
      <c r="M42" s="1133"/>
      <c r="N42" s="1133"/>
      <c r="O42" s="1146"/>
      <c r="P42" s="3182" t="str">
        <f>A42</f>
        <v>比较价值（元/平方米）</v>
      </c>
      <c r="Q42" s="3182"/>
      <c r="R42" s="3244" t="e">
        <f>ROUND(PRODUCT(R41,AA7:AA40),0)</f>
        <v>#DIV/0!</v>
      </c>
      <c r="S42" s="3244"/>
      <c r="T42" s="3244" t="e">
        <f>ROUND(PRODUCT(T41,AB7:AB40),0)</f>
        <v>#DIV/0!</v>
      </c>
      <c r="U42" s="3244"/>
      <c r="V42" s="3244" t="e">
        <f>ROUND(PRODUCT(V41,AC7:AC40),0)</f>
        <v>#DIV/0!</v>
      </c>
      <c r="W42" s="3244"/>
      <c r="X42" s="758"/>
      <c r="Y42" s="758"/>
      <c r="Z42" s="758"/>
      <c r="AA42" s="758"/>
      <c r="AB42" s="758"/>
      <c r="AC42" s="758"/>
    </row>
    <row r="43" spans="1:29" ht="15.75" thickBot="1">
      <c r="A43" s="493" t="s">
        <v>2667</v>
      </c>
      <c r="B43" s="494"/>
      <c r="C43" s="495" t="e">
        <f>R43</f>
        <v>#DIV/0!</v>
      </c>
      <c r="D43" s="495"/>
      <c r="E43" s="495"/>
      <c r="F43" s="495"/>
      <c r="G43" s="495"/>
      <c r="H43" s="495"/>
      <c r="I43" s="495"/>
      <c r="J43" s="495"/>
      <c r="K43" s="784"/>
      <c r="L43" s="1145"/>
      <c r="M43" s="1133"/>
      <c r="N43" s="1133"/>
      <c r="O43" s="1146"/>
      <c r="P43" s="3179" t="str">
        <f>A43</f>
        <v>估价对象XX用房的比较价值（楼面单价，元/平方米）</v>
      </c>
      <c r="Q43" s="3180"/>
      <c r="R43" s="3245" t="e">
        <f>ROUND(AVERAGE(R42:V42),0)</f>
        <v>#DIV/0!</v>
      </c>
      <c r="S43" s="3245"/>
      <c r="T43" s="3245"/>
      <c r="U43" s="3245"/>
      <c r="V43" s="3245"/>
      <c r="W43" s="324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7"/>
      <c r="L46" s="1108"/>
      <c r="M46" s="1133"/>
      <c r="N46" s="1133"/>
      <c r="O46" s="1146"/>
    </row>
    <row r="47" spans="1:29" ht="13.5" customHeight="1">
      <c r="A47" s="1146"/>
      <c r="B47" s="1146"/>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7"/>
      <c r="L47" s="1108"/>
      <c r="M47" s="1146"/>
      <c r="N47" s="1146"/>
      <c r="O47" s="1146"/>
    </row>
    <row r="48" spans="1:29" s="503" customFormat="1" ht="13.5" customHeight="1">
      <c r="A48" s="1147"/>
      <c r="B48" s="1147"/>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0"/>
      <c r="L48" s="1151"/>
      <c r="M48" s="1147"/>
      <c r="N48" s="1147"/>
      <c r="O48" s="1147"/>
    </row>
    <row r="49" spans="1:17" s="503" customFormat="1" ht="15" thickBot="1">
      <c r="A49" s="1147"/>
      <c r="B49" s="1148"/>
      <c r="C49" s="761"/>
      <c r="D49" s="759"/>
      <c r="E49" s="759"/>
      <c r="F49" s="759"/>
      <c r="G49" s="759"/>
      <c r="H49" s="759"/>
      <c r="I49" s="759"/>
      <c r="J49" s="759"/>
      <c r="K49" s="1150"/>
      <c r="L49" s="1151"/>
      <c r="M49" s="1147"/>
      <c r="N49" s="1147"/>
      <c r="O49" s="1147"/>
    </row>
    <row r="50" spans="1:17" ht="27">
      <c r="A50" s="685" t="s">
        <v>2755</v>
      </c>
      <c r="B50" s="686" t="s">
        <v>2756</v>
      </c>
      <c r="C50" s="2708" t="s">
        <v>2757</v>
      </c>
      <c r="D50" s="2709" t="s">
        <v>2758</v>
      </c>
      <c r="E50" s="687" t="s">
        <v>2759</v>
      </c>
      <c r="F50" s="688" t="s">
        <v>2760</v>
      </c>
      <c r="G50" s="3165" t="s">
        <v>2761</v>
      </c>
      <c r="H50" s="3246"/>
      <c r="I50" s="1817" t="s">
        <v>2798</v>
      </c>
      <c r="J50" s="1817">
        <f>项目基本情况!F35</f>
        <v>0</v>
      </c>
      <c r="K50" s="2711" t="s">
        <v>2763</v>
      </c>
      <c r="L50" s="1108"/>
      <c r="M50" s="1146"/>
      <c r="N50" s="1146"/>
      <c r="O50" s="1146"/>
    </row>
    <row r="51" spans="1:17" s="693" customFormat="1">
      <c r="A51" s="689" t="s">
        <v>2764</v>
      </c>
      <c r="B51" s="690" t="e">
        <f>C43</f>
        <v>#DIV/0!</v>
      </c>
      <c r="C51" s="691">
        <v>1</v>
      </c>
      <c r="D51" s="1165">
        <v>1</v>
      </c>
      <c r="E51" s="691">
        <f>'数据-汇总表'!E8+'数据-汇总表'!E9</f>
        <v>88.84</v>
      </c>
      <c r="F51" s="692" t="e">
        <f t="shared" ref="F51:F60" si="14">ROUND(B51*E51/10000,0)</f>
        <v>#DIV/0!</v>
      </c>
      <c r="G51" s="3164"/>
      <c r="H51" s="3182"/>
      <c r="I51" s="944">
        <v>1</v>
      </c>
      <c r="J51" s="944">
        <v>1</v>
      </c>
      <c r="K51" s="1147"/>
      <c r="L51" s="943"/>
      <c r="M51" s="943"/>
      <c r="N51" s="943"/>
      <c r="O51" s="943"/>
    </row>
    <row r="52" spans="1:17" s="693" customFormat="1">
      <c r="A52" s="694" t="s">
        <v>2765</v>
      </c>
      <c r="B52" s="263" t="e">
        <f>ROUND($C$43*C52*D52,0)</f>
        <v>#DIV/0!</v>
      </c>
      <c r="C52" s="201">
        <f t="shared" ref="C52:C60" si="15">IF($C$50="北京市系数",I52,J52)</f>
        <v>0</v>
      </c>
      <c r="D52" s="1166">
        <v>0.25</v>
      </c>
      <c r="E52" s="695"/>
      <c r="F52" s="692" t="e">
        <f t="shared" si="14"/>
        <v>#DIV/0!</v>
      </c>
      <c r="G52" s="3247" t="s">
        <v>2766</v>
      </c>
      <c r="H52" s="1106">
        <f>项目基本情况!B37</f>
        <v>0</v>
      </c>
      <c r="I52" s="944">
        <f>SUMIF(修正!A45:A56,H52,修正!B45:B56)</f>
        <v>0</v>
      </c>
      <c r="J52" s="945"/>
      <c r="K52" s="1146"/>
      <c r="L52" s="943"/>
      <c r="M52" s="943"/>
      <c r="N52" s="943"/>
      <c r="O52" s="943"/>
    </row>
    <row r="53" spans="1:17" s="693" customFormat="1">
      <c r="A53" s="694" t="s">
        <v>2767</v>
      </c>
      <c r="B53" s="263" t="e">
        <f t="shared" ref="B53:B60" si="16">ROUND($C$43*C53*D53,0)</f>
        <v>#DIV/0!</v>
      </c>
      <c r="C53" s="201">
        <f t="shared" si="15"/>
        <v>0</v>
      </c>
      <c r="D53" s="1166">
        <v>0.25</v>
      </c>
      <c r="E53" s="695"/>
      <c r="F53" s="692" t="e">
        <f t="shared" si="14"/>
        <v>#DIV/0!</v>
      </c>
      <c r="G53" s="3247"/>
      <c r="H53" s="1106">
        <f>项目基本情况!B37</f>
        <v>0</v>
      </c>
      <c r="I53" s="944">
        <f>SUMIF(修正!A45:A56,H53,修正!C45:C56)</f>
        <v>0</v>
      </c>
      <c r="J53" s="945"/>
      <c r="K53" s="1147"/>
      <c r="L53" s="943"/>
      <c r="M53" s="943"/>
      <c r="N53" s="943"/>
      <c r="O53" s="943"/>
    </row>
    <row r="54" spans="1:17" s="693" customFormat="1">
      <c r="A54" s="694" t="s">
        <v>2768</v>
      </c>
      <c r="B54" s="263" t="e">
        <f t="shared" si="16"/>
        <v>#DIV/0!</v>
      </c>
      <c r="C54" s="201">
        <f t="shared" si="15"/>
        <v>0</v>
      </c>
      <c r="D54" s="1166">
        <v>0.25</v>
      </c>
      <c r="E54" s="695"/>
      <c r="F54" s="692" t="e">
        <f t="shared" si="14"/>
        <v>#DIV/0!</v>
      </c>
      <c r="G54" s="3247"/>
      <c r="H54" s="1106">
        <f>项目基本情况!B37</f>
        <v>0</v>
      </c>
      <c r="I54" s="944">
        <f>SUMIF(修正!A45:A56,H54,修正!D45:D56)</f>
        <v>0</v>
      </c>
      <c r="J54" s="945"/>
      <c r="K54" s="1146"/>
      <c r="L54" s="943"/>
      <c r="M54" s="943"/>
      <c r="N54" s="943"/>
      <c r="O54" s="943"/>
    </row>
    <row r="55" spans="1:17" s="693" customFormat="1">
      <c r="A55" s="694" t="s">
        <v>2769</v>
      </c>
      <c r="B55" s="263" t="e">
        <f t="shared" si="16"/>
        <v>#DIV/0!</v>
      </c>
      <c r="C55" s="201">
        <f t="shared" si="15"/>
        <v>0</v>
      </c>
      <c r="D55" s="1166">
        <v>0.25</v>
      </c>
      <c r="E55" s="695"/>
      <c r="F55" s="692" t="e">
        <f t="shared" si="14"/>
        <v>#DIV/0!</v>
      </c>
      <c r="G55" s="3247"/>
      <c r="H55" s="1106">
        <f>项目基本情况!B37</f>
        <v>0</v>
      </c>
      <c r="I55" s="944">
        <f>SUMIF(修正!A45:A56,H55,修正!E45:E56)</f>
        <v>0</v>
      </c>
      <c r="J55" s="945"/>
      <c r="K55" s="1147"/>
      <c r="L55" s="943"/>
      <c r="M55" s="943"/>
      <c r="N55" s="943"/>
      <c r="O55" s="943"/>
    </row>
    <row r="56" spans="1:17" s="693" customFormat="1">
      <c r="A56" s="694" t="s">
        <v>2770</v>
      </c>
      <c r="B56" s="263" t="e">
        <f t="shared" si="16"/>
        <v>#DIV/0!</v>
      </c>
      <c r="C56" s="201">
        <f t="shared" si="15"/>
        <v>0</v>
      </c>
      <c r="D56" s="1166">
        <v>0.25</v>
      </c>
      <c r="E56" s="262">
        <f>'数据-汇总表'!E11</f>
        <v>0</v>
      </c>
      <c r="F56" s="692" t="e">
        <f t="shared" si="14"/>
        <v>#DIV/0!</v>
      </c>
      <c r="G56" s="2712" t="s">
        <v>2771</v>
      </c>
      <c r="H56" s="1106">
        <f>项目基本情况!C37</f>
        <v>0</v>
      </c>
      <c r="I56" s="944">
        <f>SUMIF(修正!A45:A56,H56,修正!F45:F56)</f>
        <v>0</v>
      </c>
      <c r="J56" s="945"/>
      <c r="K56" s="1146"/>
      <c r="L56" s="943"/>
      <c r="M56" s="943"/>
      <c r="N56" s="943"/>
      <c r="O56" s="943"/>
    </row>
    <row r="57" spans="1:17" s="693" customFormat="1">
      <c r="A57" s="694" t="s">
        <v>2772</v>
      </c>
      <c r="B57" s="263" t="e">
        <f t="shared" si="16"/>
        <v>#DIV/0!</v>
      </c>
      <c r="C57" s="201">
        <f t="shared" si="15"/>
        <v>0</v>
      </c>
      <c r="D57" s="1166">
        <v>0.25</v>
      </c>
      <c r="E57" s="262">
        <f>'数据-汇总表'!E12</f>
        <v>0</v>
      </c>
      <c r="F57" s="692" t="e">
        <f t="shared" si="14"/>
        <v>#DIV/0!</v>
      </c>
      <c r="G57" s="1111" t="s">
        <v>2773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3" customFormat="1">
      <c r="A58" s="694" t="s">
        <v>2774</v>
      </c>
      <c r="B58" s="263" t="e">
        <f t="shared" si="16"/>
        <v>#DIV/0!</v>
      </c>
      <c r="C58" s="201">
        <f t="shared" si="15"/>
        <v>0</v>
      </c>
      <c r="D58" s="1166">
        <v>0.25</v>
      </c>
      <c r="E58" s="262">
        <f>'数据-汇总表'!E13</f>
        <v>0</v>
      </c>
      <c r="F58" s="692" t="e">
        <f t="shared" si="14"/>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3" customFormat="1">
      <c r="A59" s="694" t="s">
        <v>2776</v>
      </c>
      <c r="B59" s="263" t="e">
        <f t="shared" si="16"/>
        <v>#DIV/0!</v>
      </c>
      <c r="C59" s="201">
        <f t="shared" si="15"/>
        <v>0</v>
      </c>
      <c r="D59" s="1166">
        <v>0.25</v>
      </c>
      <c r="E59" s="262">
        <f>'数据-汇总表'!E14</f>
        <v>0</v>
      </c>
      <c r="F59" s="692" t="e">
        <f t="shared" si="14"/>
        <v>#DIV/0!</v>
      </c>
      <c r="G59" s="2712" t="s">
        <v>2766</v>
      </c>
      <c r="H59" s="1106">
        <f>项目基本情况!B37</f>
        <v>0</v>
      </c>
      <c r="I59" s="944">
        <f>SUMIF(修正!A45:A56,H59,修正!H45:H56)</f>
        <v>0</v>
      </c>
      <c r="J59" s="945"/>
      <c r="K59" s="1147"/>
      <c r="L59" s="943"/>
      <c r="M59" s="943"/>
      <c r="N59" s="943"/>
      <c r="O59" s="943"/>
    </row>
    <row r="60" spans="1:17" s="693" customFormat="1" ht="15" thickBot="1">
      <c r="A60" s="694" t="s">
        <v>2777</v>
      </c>
      <c r="B60" s="263" t="e">
        <f t="shared" si="16"/>
        <v>#DIV/0!</v>
      </c>
      <c r="C60" s="201">
        <f t="shared" si="15"/>
        <v>0</v>
      </c>
      <c r="D60" s="1166">
        <v>0.25</v>
      </c>
      <c r="E60" s="262">
        <f>'数据-汇总表'!E15</f>
        <v>0</v>
      </c>
      <c r="F60" s="692" t="e">
        <f t="shared" si="14"/>
        <v>#DIV/0!</v>
      </c>
      <c r="G60" s="2713" t="s">
        <v>2771</v>
      </c>
      <c r="H60" s="1116">
        <f>项目基本情况!C37</f>
        <v>0</v>
      </c>
      <c r="I60" s="944">
        <f>SUMIF(修正!A45:A56,H60,修正!H45:H56)</f>
        <v>0</v>
      </c>
      <c r="J60" s="945"/>
      <c r="K60" s="1146"/>
      <c r="L60" s="943"/>
      <c r="M60" s="943"/>
      <c r="N60" s="943"/>
      <c r="O60" s="943"/>
    </row>
    <row r="61" spans="1:17" s="693" customFormat="1" ht="15" thickBot="1">
      <c r="A61" s="696" t="s">
        <v>2778</v>
      </c>
      <c r="B61" s="697" t="s">
        <v>28</v>
      </c>
      <c r="C61" s="697" t="s">
        <v>29</v>
      </c>
      <c r="D61" s="697" t="s">
        <v>1029</v>
      </c>
      <c r="E61" s="697">
        <f>IF(B41="楼面地价",SUM(E51:E60),'数据-汇总表'!D3)</f>
        <v>0</v>
      </c>
      <c r="F61" s="698"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7">EDATE(E63,-3)</f>
        <v>42767</v>
      </c>
      <c r="G63" s="760">
        <f t="shared" si="17"/>
        <v>42675</v>
      </c>
      <c r="H63" s="760">
        <f t="shared" si="17"/>
        <v>42583</v>
      </c>
      <c r="I63" s="760">
        <f t="shared" si="17"/>
        <v>42491</v>
      </c>
      <c r="J63" s="760">
        <f t="shared" si="17"/>
        <v>42401</v>
      </c>
      <c r="K63" s="760">
        <f t="shared" si="17"/>
        <v>42309</v>
      </c>
      <c r="L63" s="760">
        <f t="shared" si="17"/>
        <v>42217</v>
      </c>
      <c r="M63" s="760">
        <f t="shared" si="17"/>
        <v>42125</v>
      </c>
      <c r="N63" s="760">
        <f t="shared" si="17"/>
        <v>42036</v>
      </c>
      <c r="O63" s="760">
        <f t="shared" si="17"/>
        <v>41944</v>
      </c>
    </row>
    <row r="64" spans="1:17" ht="21.75" thickBot="1">
      <c r="A64" s="762" t="s">
        <v>2671</v>
      </c>
      <c r="B64" s="758"/>
      <c r="C64" s="763"/>
      <c r="D64" s="763"/>
      <c r="E64" s="763"/>
      <c r="F64" s="764"/>
      <c r="G64" s="764"/>
      <c r="H64" s="763"/>
      <c r="I64" s="763"/>
      <c r="J64" s="763"/>
      <c r="K64" s="765"/>
      <c r="L64" s="766"/>
      <c r="M64" s="763"/>
      <c r="N64" s="763"/>
      <c r="O64" s="1161"/>
      <c r="P64" s="504"/>
      <c r="Q64" s="505"/>
    </row>
    <row r="65" spans="1:17" s="509" customFormat="1" ht="15">
      <c r="A65" s="2714" t="s">
        <v>2779</v>
      </c>
      <c r="B65" s="1361"/>
      <c r="C65" s="1575" t="str">
        <f>YEAR(C63)&amp;"-"&amp;ROUNDUP(MONTH(C63)/3,0)</f>
        <v>2017-4</v>
      </c>
      <c r="D65" s="1575" t="str">
        <f t="shared" ref="D65:O65" si="18">YEAR(D63)&amp;"-"&amp;ROUNDUP(MONTH(D63)/3,0)</f>
        <v>2017-3</v>
      </c>
      <c r="E65" s="1575" t="str">
        <f t="shared" si="18"/>
        <v>2017-2</v>
      </c>
      <c r="F65" s="1575" t="str">
        <f t="shared" si="18"/>
        <v>2017-1</v>
      </c>
      <c r="G65" s="1575" t="str">
        <f t="shared" si="18"/>
        <v>2016-4</v>
      </c>
      <c r="H65" s="1575" t="str">
        <f t="shared" si="18"/>
        <v>2016-3</v>
      </c>
      <c r="I65" s="1575" t="str">
        <f t="shared" si="18"/>
        <v>2016-2</v>
      </c>
      <c r="J65" s="1575" t="str">
        <f t="shared" si="18"/>
        <v>2016-1</v>
      </c>
      <c r="K65" s="1575" t="str">
        <f t="shared" si="18"/>
        <v>2015-4</v>
      </c>
      <c r="L65" s="1575" t="str">
        <f t="shared" si="18"/>
        <v>2015-3</v>
      </c>
      <c r="M65" s="1575" t="str">
        <f t="shared" si="18"/>
        <v>2015-2</v>
      </c>
      <c r="N65" s="1575" t="str">
        <f t="shared" si="18"/>
        <v>2015-1</v>
      </c>
      <c r="O65" s="1575" t="str">
        <f t="shared" si="18"/>
        <v>2014-4</v>
      </c>
      <c r="P65" s="508"/>
    </row>
    <row r="66" spans="1:17" s="117" customFormat="1" ht="30.75" customHeight="1">
      <c r="A66" s="2719" t="s">
        <v>2799</v>
      </c>
      <c r="B66" s="333" t="str">
        <f>"北京市平均增长率"&amp;TEXT(基准地价修正!P24,"0.00%")</f>
        <v>北京市平均增长率1.39%</v>
      </c>
      <c r="C66" s="604">
        <v>100</v>
      </c>
      <c r="D66" s="596"/>
      <c r="E66" s="596"/>
      <c r="F66" s="596"/>
      <c r="G66" s="596"/>
      <c r="H66" s="596"/>
      <c r="I66" s="596"/>
      <c r="J66" s="596"/>
      <c r="K66" s="596"/>
      <c r="L66" s="596"/>
      <c r="M66" s="1570"/>
      <c r="N66" s="1570"/>
      <c r="O66" s="1572"/>
      <c r="P66" s="505"/>
    </row>
    <row r="67" spans="1:17" s="117" customFormat="1" ht="15.75" thickBot="1">
      <c r="A67" s="516" t="s">
        <v>2582</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2649</v>
      </c>
      <c r="D68" s="524"/>
      <c r="E68" s="524"/>
      <c r="F68" s="524"/>
      <c r="G68" s="524"/>
      <c r="H68" s="524"/>
      <c r="I68" s="524"/>
      <c r="J68" s="524"/>
      <c r="K68" s="524"/>
      <c r="L68" s="525"/>
      <c r="M68" s="526"/>
      <c r="N68" s="1153"/>
      <c r="O68" s="1153"/>
      <c r="P68" s="527"/>
      <c r="Q68" s="505"/>
    </row>
    <row r="69" spans="1:17" s="117" customFormat="1" ht="15.75" thickBot="1">
      <c r="A69" s="522"/>
      <c r="B69" s="511"/>
      <c r="C69" s="640">
        <v>100</v>
      </c>
      <c r="D69" s="513"/>
      <c r="E69" s="513"/>
      <c r="F69" s="513"/>
      <c r="G69" s="513"/>
      <c r="H69" s="513"/>
      <c r="I69" s="513"/>
      <c r="J69" s="513"/>
      <c r="K69" s="513"/>
      <c r="L69" s="513"/>
      <c r="M69" s="515"/>
      <c r="N69" s="1153"/>
      <c r="O69" s="1153"/>
      <c r="P69" s="505"/>
      <c r="Q69" s="505"/>
    </row>
    <row r="70" spans="1:17">
      <c r="A70" s="528" t="s">
        <v>2585</v>
      </c>
      <c r="B70" s="529" t="s">
        <v>2552</v>
      </c>
      <c r="C70" s="531"/>
      <c r="D70" s="531"/>
      <c r="E70" s="531"/>
      <c r="F70" s="531"/>
      <c r="G70" s="531"/>
      <c r="H70" s="531"/>
      <c r="I70" s="531"/>
      <c r="J70" s="531"/>
      <c r="K70" s="532"/>
      <c r="L70" s="533"/>
      <c r="M70" s="534"/>
      <c r="N70" s="1154"/>
      <c r="O70" s="1154"/>
      <c r="P70" s="45"/>
      <c r="Q70" s="505"/>
    </row>
    <row r="71" spans="1:17" ht="15.75" thickBot="1">
      <c r="A71" s="535"/>
      <c r="B71" s="536"/>
      <c r="C71" s="537"/>
      <c r="D71" s="537"/>
      <c r="E71" s="537"/>
      <c r="F71" s="537"/>
      <c r="G71" s="537"/>
      <c r="H71" s="537"/>
      <c r="I71" s="537"/>
      <c r="J71" s="537"/>
      <c r="K71" s="537"/>
      <c r="L71" s="537"/>
      <c r="M71" s="538"/>
      <c r="N71" s="1155"/>
      <c r="O71" s="1155"/>
      <c r="P71" s="45"/>
      <c r="Q71" s="505"/>
    </row>
    <row r="72" spans="1:17" ht="27.75" thickTop="1">
      <c r="A72" s="535"/>
      <c r="B72" s="539" t="s">
        <v>2555</v>
      </c>
      <c r="C72" s="540"/>
      <c r="D72" s="540"/>
      <c r="E72" s="540"/>
      <c r="F72" s="540"/>
      <c r="G72" s="540"/>
      <c r="H72" s="540"/>
      <c r="I72" s="540"/>
      <c r="J72" s="540"/>
      <c r="K72" s="541"/>
      <c r="L72" s="542"/>
      <c r="M72" s="543"/>
      <c r="N72" s="1154"/>
      <c r="O72" s="1154"/>
      <c r="P72" s="45"/>
      <c r="Q72" s="505"/>
    </row>
    <row r="73" spans="1:17" ht="15.75" thickBot="1">
      <c r="A73" s="535"/>
      <c r="B73" s="544"/>
      <c r="C73" s="545"/>
      <c r="D73" s="545"/>
      <c r="E73" s="545"/>
      <c r="F73" s="545"/>
      <c r="G73" s="545"/>
      <c r="H73" s="545"/>
      <c r="I73" s="545"/>
      <c r="J73" s="545"/>
      <c r="K73" s="545"/>
      <c r="L73" s="545"/>
      <c r="M73" s="546"/>
      <c r="N73" s="1155"/>
      <c r="O73" s="1155"/>
      <c r="P73" s="45"/>
      <c r="Q73" s="505"/>
    </row>
    <row r="74" spans="1:17" ht="15.75" thickTop="1">
      <c r="A74" s="535"/>
      <c r="B74" s="547" t="s">
        <v>2556</v>
      </c>
      <c r="C74" s="548" t="str">
        <f>C75&amp;"（含）"&amp;"-"&amp;D75</f>
        <v>（含）-</v>
      </c>
      <c r="D74" s="548" t="str">
        <f t="shared" ref="D74:L74" si="19">D75&amp;"（含）"&amp;"-"&amp;E75</f>
        <v>（含）-</v>
      </c>
      <c r="E74" s="548" t="str">
        <f t="shared" si="19"/>
        <v>（含）-</v>
      </c>
      <c r="F74" s="548" t="str">
        <f t="shared" si="19"/>
        <v>（含）-</v>
      </c>
      <c r="G74" s="548" t="str">
        <f t="shared" si="19"/>
        <v>（含）-</v>
      </c>
      <c r="H74" s="548" t="str">
        <f t="shared" si="19"/>
        <v>（含）-</v>
      </c>
      <c r="I74" s="548" t="str">
        <f t="shared" si="19"/>
        <v>（含）-</v>
      </c>
      <c r="J74" s="548" t="str">
        <f t="shared" si="19"/>
        <v>（含）-</v>
      </c>
      <c r="K74" s="548" t="str">
        <f t="shared" si="19"/>
        <v>（含）-</v>
      </c>
      <c r="L74" s="548" t="str">
        <f t="shared" si="19"/>
        <v>（含）-</v>
      </c>
      <c r="M74" s="449" t="str">
        <f>M75&amp;"（含）"&amp;"-"&amp;P75</f>
        <v>（含）-</v>
      </c>
      <c r="N74" s="1155"/>
      <c r="O74" s="1155"/>
      <c r="P74" s="45"/>
      <c r="Q74" s="505"/>
    </row>
    <row r="75" spans="1:17" ht="15">
      <c r="A75" s="535"/>
      <c r="B75" s="549"/>
      <c r="C75" s="550"/>
      <c r="D75" s="550"/>
      <c r="E75" s="550"/>
      <c r="F75" s="550"/>
      <c r="G75" s="550"/>
      <c r="H75" s="550"/>
      <c r="I75" s="550"/>
      <c r="J75" s="550"/>
      <c r="K75" s="551"/>
      <c r="L75" s="552"/>
      <c r="M75" s="553"/>
      <c r="N75" s="1154"/>
      <c r="O75" s="1154"/>
      <c r="P75" s="45"/>
      <c r="Q75" s="505"/>
    </row>
    <row r="76" spans="1:17" ht="15.75" thickBot="1">
      <c r="A76" s="535"/>
      <c r="B76" s="536"/>
      <c r="C76" s="545">
        <v>100</v>
      </c>
      <c r="D76" s="545">
        <f>IF($B$41="单位面积地价",C76+$K11,C76-$K11)</f>
        <v>100</v>
      </c>
      <c r="E76" s="545">
        <f t="shared" ref="E76:M76" si="20">IF($B$41="单位面积地价",D76+$K11,D76-$K11)</f>
        <v>100</v>
      </c>
      <c r="F76" s="545">
        <f t="shared" si="20"/>
        <v>100</v>
      </c>
      <c r="G76" s="545">
        <f t="shared" si="20"/>
        <v>100</v>
      </c>
      <c r="H76" s="545">
        <f t="shared" si="20"/>
        <v>100</v>
      </c>
      <c r="I76" s="545">
        <f t="shared" si="20"/>
        <v>100</v>
      </c>
      <c r="J76" s="545">
        <f t="shared" si="20"/>
        <v>100</v>
      </c>
      <c r="K76" s="545">
        <f t="shared" si="20"/>
        <v>100</v>
      </c>
      <c r="L76" s="545">
        <f t="shared" si="20"/>
        <v>100</v>
      </c>
      <c r="M76" s="545">
        <f t="shared" si="20"/>
        <v>100</v>
      </c>
      <c r="N76" s="1155"/>
      <c r="O76" s="1155"/>
      <c r="P76" s="45"/>
      <c r="Q76" s="505"/>
    </row>
    <row r="77" spans="1:17" s="472" customFormat="1" ht="15.75" thickTop="1">
      <c r="A77" s="554"/>
      <c r="B77" s="539">
        <f>B12</f>
        <v>111</v>
      </c>
      <c r="C77" s="555"/>
      <c r="D77" s="555"/>
      <c r="E77" s="555"/>
      <c r="F77" s="555"/>
      <c r="G77" s="555"/>
      <c r="H77" s="556"/>
      <c r="I77" s="556"/>
      <c r="J77" s="556"/>
      <c r="K77" s="556"/>
      <c r="L77" s="557"/>
      <c r="M77" s="558"/>
      <c r="N77" s="1156"/>
      <c r="O77" s="1156"/>
      <c r="P77" s="559"/>
      <c r="Q77" s="560"/>
    </row>
    <row r="78" spans="1:17" s="472" customFormat="1" ht="15.75" thickBot="1">
      <c r="A78" s="554"/>
      <c r="B78" s="544"/>
      <c r="C78" s="561"/>
      <c r="D78" s="537"/>
      <c r="E78" s="537"/>
      <c r="F78" s="537"/>
      <c r="G78" s="537"/>
      <c r="H78" s="537"/>
      <c r="I78" s="537"/>
      <c r="J78" s="537"/>
      <c r="K78" s="537"/>
      <c r="L78" s="537"/>
      <c r="M78" s="538"/>
      <c r="N78" s="1155"/>
      <c r="O78" s="1155"/>
      <c r="P78" s="559"/>
      <c r="Q78" s="560"/>
    </row>
    <row r="79" spans="1:17" s="472" customFormat="1" ht="15.75" thickTop="1">
      <c r="A79" s="554"/>
      <c r="B79" s="539">
        <f>B13</f>
        <v>111</v>
      </c>
      <c r="C79" s="555"/>
      <c r="D79" s="555"/>
      <c r="E79" s="555"/>
      <c r="F79" s="555"/>
      <c r="G79" s="555"/>
      <c r="H79" s="556"/>
      <c r="I79" s="556"/>
      <c r="J79" s="556"/>
      <c r="K79" s="556"/>
      <c r="L79" s="557"/>
      <c r="M79" s="558"/>
      <c r="N79" s="1156"/>
      <c r="O79" s="1156"/>
      <c r="P79" s="471"/>
      <c r="Q79" s="562"/>
    </row>
    <row r="80" spans="1:17" s="472" customFormat="1" ht="15.75" thickBot="1">
      <c r="A80" s="554"/>
      <c r="B80" s="544"/>
      <c r="C80" s="561"/>
      <c r="D80" s="561"/>
      <c r="E80" s="561"/>
      <c r="F80" s="561"/>
      <c r="G80" s="561"/>
      <c r="H80" s="563"/>
      <c r="I80" s="563"/>
      <c r="J80" s="563"/>
      <c r="K80" s="563"/>
      <c r="L80" s="563"/>
      <c r="M80" s="564"/>
      <c r="N80" s="1156"/>
      <c r="O80" s="1156"/>
      <c r="P80" s="559"/>
      <c r="Q80" s="560"/>
    </row>
    <row r="81" spans="1:17" s="472" customFormat="1" ht="15.75" thickTop="1">
      <c r="A81" s="554"/>
      <c r="B81" s="547">
        <f>B14</f>
        <v>111</v>
      </c>
      <c r="C81" s="524"/>
      <c r="D81" s="524"/>
      <c r="E81" s="524"/>
      <c r="F81" s="524"/>
      <c r="G81" s="524"/>
      <c r="H81" s="565"/>
      <c r="I81" s="565"/>
      <c r="J81" s="565"/>
      <c r="K81" s="565"/>
      <c r="L81" s="566"/>
      <c r="M81" s="567"/>
      <c r="N81" s="1156"/>
      <c r="O81" s="1156"/>
      <c r="P81" s="568"/>
      <c r="Q81" s="560"/>
    </row>
    <row r="82" spans="1:17" s="472" customFormat="1" ht="15.75" thickBot="1">
      <c r="A82" s="569"/>
      <c r="B82" s="570"/>
      <c r="C82" s="571"/>
      <c r="D82" s="571"/>
      <c r="E82" s="571"/>
      <c r="F82" s="571"/>
      <c r="G82" s="571"/>
      <c r="H82" s="572"/>
      <c r="I82" s="572"/>
      <c r="J82" s="572"/>
      <c r="K82" s="572"/>
      <c r="L82" s="572"/>
      <c r="M82" s="573"/>
      <c r="N82" s="1156"/>
      <c r="O82" s="1156"/>
      <c r="P82" s="559"/>
      <c r="Q82" s="560"/>
    </row>
    <row r="83" spans="1:17">
      <c r="A83" s="528" t="s">
        <v>2557</v>
      </c>
      <c r="B83" s="529" t="s">
        <v>2702</v>
      </c>
      <c r="C83" s="574" t="s">
        <v>2594</v>
      </c>
      <c r="D83" s="574" t="s">
        <v>2595</v>
      </c>
      <c r="E83" s="574" t="s">
        <v>2596</v>
      </c>
      <c r="F83" s="574" t="s">
        <v>2597</v>
      </c>
      <c r="G83" s="574" t="s">
        <v>2598</v>
      </c>
      <c r="H83" s="530"/>
      <c r="I83" s="530"/>
      <c r="J83" s="530"/>
      <c r="K83" s="575"/>
      <c r="L83" s="576"/>
      <c r="M83" s="577"/>
      <c r="N83" s="1154"/>
      <c r="O83" s="1154"/>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5"/>
      <c r="O84" s="1155"/>
      <c r="P84" s="45"/>
      <c r="Q84" s="505"/>
    </row>
    <row r="85" spans="1:17" ht="15.75" thickTop="1">
      <c r="A85" s="535"/>
      <c r="B85" s="539" t="s">
        <v>2599</v>
      </c>
      <c r="C85" s="579" t="s">
        <v>2594</v>
      </c>
      <c r="D85" s="579" t="s">
        <v>2595</v>
      </c>
      <c r="E85" s="579" t="s">
        <v>2596</v>
      </c>
      <c r="F85" s="579" t="s">
        <v>2597</v>
      </c>
      <c r="G85" s="579" t="s">
        <v>2598</v>
      </c>
      <c r="H85" s="540"/>
      <c r="I85" s="540"/>
      <c r="J85" s="540"/>
      <c r="K85" s="541"/>
      <c r="L85" s="542"/>
      <c r="M85" s="543"/>
      <c r="N85" s="1154"/>
      <c r="O85" s="1154"/>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5"/>
      <c r="O86" s="1155"/>
      <c r="P86" s="45"/>
      <c r="Q86" s="505"/>
    </row>
    <row r="87" spans="1:17" s="117" customFormat="1" ht="15.75" thickTop="1">
      <c r="A87" s="580"/>
      <c r="B87" s="539" t="s">
        <v>2782</v>
      </c>
      <c r="C87" s="574" t="s">
        <v>2594</v>
      </c>
      <c r="D87" s="574" t="s">
        <v>2595</v>
      </c>
      <c r="E87" s="574" t="s">
        <v>2596</v>
      </c>
      <c r="F87" s="574" t="s">
        <v>2597</v>
      </c>
      <c r="G87" s="574" t="s">
        <v>2598</v>
      </c>
      <c r="H87" s="579"/>
      <c r="I87" s="579"/>
      <c r="J87" s="579"/>
      <c r="K87" s="579"/>
      <c r="L87" s="699"/>
      <c r="M87" s="623"/>
      <c r="N87" s="1153"/>
      <c r="O87" s="1153"/>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5"/>
      <c r="O88" s="1155"/>
      <c r="P88" s="45"/>
      <c r="Q88" s="505"/>
    </row>
    <row r="89" spans="1:17" s="117" customFormat="1" ht="27.75" thickTop="1">
      <c r="A89" s="580"/>
      <c r="B89" s="539" t="s">
        <v>2783</v>
      </c>
      <c r="C89" s="574" t="s">
        <v>2594</v>
      </c>
      <c r="D89" s="574" t="s">
        <v>2595</v>
      </c>
      <c r="E89" s="574" t="s">
        <v>2596</v>
      </c>
      <c r="F89" s="574" t="s">
        <v>2597</v>
      </c>
      <c r="G89" s="574" t="s">
        <v>2598</v>
      </c>
      <c r="H89" s="579"/>
      <c r="I89" s="579"/>
      <c r="J89" s="579"/>
      <c r="K89" s="579"/>
      <c r="L89" s="579"/>
      <c r="M89" s="623"/>
      <c r="N89" s="1153"/>
      <c r="O89" s="1153"/>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5"/>
      <c r="O90" s="1155"/>
      <c r="P90" s="45"/>
      <c r="Q90" s="505"/>
    </row>
    <row r="91" spans="1:17" s="472" customFormat="1" ht="15.75" thickTop="1">
      <c r="A91" s="554"/>
      <c r="B91" s="539" t="s">
        <v>2651</v>
      </c>
      <c r="C91" s="574" t="s">
        <v>2594</v>
      </c>
      <c r="D91" s="574" t="s">
        <v>2595</v>
      </c>
      <c r="E91" s="574" t="s">
        <v>2596</v>
      </c>
      <c r="F91" s="574" t="s">
        <v>2597</v>
      </c>
      <c r="G91" s="574" t="s">
        <v>2598</v>
      </c>
      <c r="H91" s="601"/>
      <c r="I91" s="601"/>
      <c r="J91" s="601"/>
      <c r="K91" s="601"/>
      <c r="L91" s="602"/>
      <c r="M91" s="603"/>
      <c r="N91" s="1156"/>
      <c r="O91" s="1156"/>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6"/>
      <c r="O92" s="1156"/>
      <c r="P92" s="559"/>
      <c r="Q92" s="560"/>
    </row>
    <row r="93" spans="1:17" s="472" customFormat="1" ht="15.75" thickTop="1">
      <c r="A93" s="554"/>
      <c r="B93" s="547" t="s">
        <v>2800</v>
      </c>
      <c r="C93" s="661" t="s">
        <v>2672</v>
      </c>
      <c r="D93" s="661" t="s">
        <v>2673</v>
      </c>
      <c r="E93" s="661" t="s">
        <v>2674</v>
      </c>
      <c r="F93" s="661" t="s">
        <v>2675</v>
      </c>
      <c r="G93" s="661" t="s">
        <v>2676</v>
      </c>
      <c r="H93" s="601"/>
      <c r="I93" s="601"/>
      <c r="J93" s="601"/>
      <c r="K93" s="601"/>
      <c r="L93" s="601"/>
      <c r="M93" s="603"/>
      <c r="N93" s="1156"/>
      <c r="O93" s="1156"/>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7"/>
      <c r="N94" s="1156"/>
      <c r="O94" s="1156"/>
      <c r="P94" s="559"/>
      <c r="Q94" s="560"/>
    </row>
    <row r="95" spans="1:17" ht="15.75" thickTop="1">
      <c r="A95" s="535"/>
      <c r="B95" s="539" t="str">
        <f>B27</f>
        <v>临街状况</v>
      </c>
      <c r="C95" s="540" t="s">
        <v>2784</v>
      </c>
      <c r="D95" s="540" t="s">
        <v>2785</v>
      </c>
      <c r="E95" s="540" t="s">
        <v>2786</v>
      </c>
      <c r="F95" s="540" t="s">
        <v>2787</v>
      </c>
      <c r="G95" s="540"/>
      <c r="H95" s="540"/>
      <c r="I95" s="540"/>
      <c r="J95" s="540"/>
      <c r="K95" s="541"/>
      <c r="L95" s="542"/>
      <c r="M95" s="543"/>
      <c r="N95" s="1154"/>
      <c r="O95" s="1154"/>
      <c r="P95" s="45"/>
      <c r="Q95" s="505"/>
    </row>
    <row r="96" spans="1:17" ht="15.75" thickBot="1">
      <c r="A96" s="535"/>
      <c r="B96" s="544"/>
      <c r="C96" s="545">
        <v>100</v>
      </c>
      <c r="D96" s="545">
        <f t="shared" ref="D96:M96" si="21">C96-$K27</f>
        <v>100</v>
      </c>
      <c r="E96" s="545">
        <f t="shared" si="21"/>
        <v>100</v>
      </c>
      <c r="F96" s="545">
        <f t="shared" si="21"/>
        <v>100</v>
      </c>
      <c r="G96" s="545">
        <f t="shared" si="21"/>
        <v>100</v>
      </c>
      <c r="H96" s="545">
        <f t="shared" si="21"/>
        <v>100</v>
      </c>
      <c r="I96" s="545">
        <f t="shared" si="21"/>
        <v>100</v>
      </c>
      <c r="J96" s="545">
        <f t="shared" si="21"/>
        <v>100</v>
      </c>
      <c r="K96" s="545">
        <f t="shared" si="21"/>
        <v>100</v>
      </c>
      <c r="L96" s="545">
        <f t="shared" si="21"/>
        <v>100</v>
      </c>
      <c r="M96" s="545">
        <f t="shared" si="21"/>
        <v>100</v>
      </c>
      <c r="N96" s="1155"/>
      <c r="O96" s="1155"/>
      <c r="P96" s="45"/>
      <c r="Q96" s="505"/>
    </row>
    <row r="97" spans="1:17" ht="27.75" thickTop="1">
      <c r="A97" s="535"/>
      <c r="B97" s="539" t="s">
        <v>2688</v>
      </c>
      <c r="C97" s="555"/>
      <c r="D97" s="555"/>
      <c r="E97" s="555"/>
      <c r="F97" s="555"/>
      <c r="G97" s="555"/>
      <c r="H97" s="584"/>
      <c r="I97" s="584"/>
      <c r="J97" s="584"/>
      <c r="K97" s="585"/>
      <c r="L97" s="586"/>
      <c r="M97" s="587"/>
      <c r="N97" s="1154"/>
      <c r="O97" s="1154"/>
      <c r="P97" s="45"/>
      <c r="Q97" s="505"/>
    </row>
    <row r="98" spans="1:17" ht="15.75" thickBot="1">
      <c r="A98" s="535"/>
      <c r="B98" s="544"/>
      <c r="C98" s="545">
        <v>100</v>
      </c>
      <c r="D98" s="545">
        <f t="shared" ref="D98:M98" si="22">C98-$K28</f>
        <v>100</v>
      </c>
      <c r="E98" s="545">
        <f t="shared" si="22"/>
        <v>100</v>
      </c>
      <c r="F98" s="545">
        <f t="shared" si="22"/>
        <v>100</v>
      </c>
      <c r="G98" s="545">
        <f t="shared" si="22"/>
        <v>100</v>
      </c>
      <c r="H98" s="545">
        <f t="shared" si="22"/>
        <v>100</v>
      </c>
      <c r="I98" s="545">
        <f t="shared" si="22"/>
        <v>100</v>
      </c>
      <c r="J98" s="545">
        <f t="shared" si="22"/>
        <v>100</v>
      </c>
      <c r="K98" s="545">
        <f t="shared" si="22"/>
        <v>100</v>
      </c>
      <c r="L98" s="545">
        <f t="shared" si="22"/>
        <v>100</v>
      </c>
      <c r="M98" s="545">
        <f t="shared" si="22"/>
        <v>100</v>
      </c>
      <c r="N98" s="1155"/>
      <c r="O98" s="1155"/>
      <c r="P98" s="45"/>
      <c r="Q98" s="505"/>
    </row>
    <row r="99" spans="1:17" ht="15.75" thickTop="1">
      <c r="A99" s="535"/>
      <c r="B99" s="539" t="s">
        <v>2747</v>
      </c>
      <c r="C99" s="584"/>
      <c r="D99" s="584"/>
      <c r="E99" s="584"/>
      <c r="F99" s="584"/>
      <c r="G99" s="584"/>
      <c r="H99" s="584"/>
      <c r="I99" s="584"/>
      <c r="J99" s="584"/>
      <c r="K99" s="585"/>
      <c r="L99" s="586"/>
      <c r="M99" s="587"/>
      <c r="N99" s="1154"/>
      <c r="O99" s="1154"/>
      <c r="P99" s="45"/>
      <c r="Q99" s="505"/>
    </row>
    <row r="100" spans="1:17" ht="15.75" thickBot="1">
      <c r="A100" s="535"/>
      <c r="B100" s="544"/>
      <c r="C100" s="545">
        <v>100</v>
      </c>
      <c r="D100" s="545">
        <f t="shared" ref="D100:M100" si="23">C100-$K30</f>
        <v>100</v>
      </c>
      <c r="E100" s="545">
        <f t="shared" si="23"/>
        <v>100</v>
      </c>
      <c r="F100" s="545">
        <f t="shared" si="23"/>
        <v>100</v>
      </c>
      <c r="G100" s="545">
        <f t="shared" si="23"/>
        <v>100</v>
      </c>
      <c r="H100" s="545">
        <f t="shared" si="23"/>
        <v>100</v>
      </c>
      <c r="I100" s="545">
        <f t="shared" si="23"/>
        <v>100</v>
      </c>
      <c r="J100" s="545">
        <f t="shared" si="23"/>
        <v>100</v>
      </c>
      <c r="K100" s="545">
        <f t="shared" si="23"/>
        <v>100</v>
      </c>
      <c r="L100" s="545">
        <f t="shared" si="23"/>
        <v>100</v>
      </c>
      <c r="M100" s="545">
        <f t="shared" si="23"/>
        <v>100</v>
      </c>
      <c r="N100" s="1155"/>
      <c r="O100" s="1155"/>
      <c r="P100" s="45"/>
      <c r="Q100" s="505"/>
    </row>
    <row r="101" spans="1:17" ht="15.75" thickTop="1">
      <c r="A101" s="535"/>
      <c r="B101" s="547">
        <f>B31</f>
        <v>111</v>
      </c>
      <c r="C101" s="555"/>
      <c r="D101" s="555"/>
      <c r="E101" s="555"/>
      <c r="F101" s="555"/>
      <c r="G101" s="588"/>
      <c r="H101" s="588"/>
      <c r="I101" s="588"/>
      <c r="J101" s="588"/>
      <c r="K101" s="589"/>
      <c r="L101" s="590"/>
      <c r="M101" s="591"/>
      <c r="N101" s="1154"/>
      <c r="O101" s="1154"/>
      <c r="P101" s="45"/>
      <c r="Q101" s="505"/>
    </row>
    <row r="102" spans="1:17" ht="15.75" thickBot="1">
      <c r="A102" s="535"/>
      <c r="B102" s="570"/>
      <c r="C102" s="561"/>
      <c r="D102" s="537"/>
      <c r="E102" s="537"/>
      <c r="F102" s="537"/>
      <c r="G102" s="592"/>
      <c r="H102" s="592"/>
      <c r="I102" s="592"/>
      <c r="J102" s="592"/>
      <c r="K102" s="592"/>
      <c r="L102" s="592"/>
      <c r="M102" s="593"/>
      <c r="N102" s="1155"/>
      <c r="O102" s="1155"/>
      <c r="P102" s="45"/>
      <c r="Q102" s="505"/>
    </row>
    <row r="103" spans="1:17" ht="15" thickTop="1">
      <c r="A103" s="676"/>
      <c r="B103" s="539">
        <f>B32</f>
        <v>111</v>
      </c>
      <c r="C103" s="555"/>
      <c r="D103" s="555"/>
      <c r="E103" s="555"/>
      <c r="F103" s="555"/>
      <c r="G103" s="584"/>
      <c r="H103" s="584"/>
      <c r="I103" s="584"/>
      <c r="J103" s="584"/>
      <c r="K103" s="585"/>
      <c r="L103" s="586"/>
      <c r="M103" s="587"/>
      <c r="N103" s="1154"/>
      <c r="O103" s="1154"/>
      <c r="P103" s="45"/>
      <c r="Q103" s="505"/>
    </row>
    <row r="104" spans="1:17" ht="15.75" thickBot="1">
      <c r="A104" s="535"/>
      <c r="B104" s="544"/>
      <c r="C104" s="561"/>
      <c r="D104" s="561"/>
      <c r="E104" s="561"/>
      <c r="F104" s="561"/>
      <c r="G104" s="537"/>
      <c r="H104" s="537"/>
      <c r="I104" s="537"/>
      <c r="J104" s="537"/>
      <c r="K104" s="537"/>
      <c r="L104" s="537"/>
      <c r="M104" s="538"/>
      <c r="N104" s="1155"/>
      <c r="O104" s="1155"/>
      <c r="P104" s="45"/>
      <c r="Q104" s="505"/>
    </row>
    <row r="105" spans="1:17" s="472" customFormat="1" ht="15" thickTop="1">
      <c r="A105" s="594"/>
      <c r="B105" s="595">
        <f>B33</f>
        <v>111</v>
      </c>
      <c r="C105" s="524"/>
      <c r="D105" s="524"/>
      <c r="E105" s="524"/>
      <c r="F105" s="524"/>
      <c r="G105" s="596"/>
      <c r="H105" s="596"/>
      <c r="I105" s="596"/>
      <c r="J105" s="597"/>
      <c r="K105" s="597"/>
      <c r="L105" s="598"/>
      <c r="M105" s="599"/>
      <c r="N105" s="1156"/>
      <c r="O105" s="1156"/>
      <c r="P105" s="559"/>
      <c r="Q105" s="560"/>
    </row>
    <row r="106" spans="1:17" s="472" customFormat="1" ht="15.75" thickBot="1">
      <c r="A106" s="554"/>
      <c r="B106" s="547"/>
      <c r="C106" s="571"/>
      <c r="D106" s="571"/>
      <c r="E106" s="571"/>
      <c r="F106" s="571"/>
      <c r="G106" s="678"/>
      <c r="H106" s="678"/>
      <c r="I106" s="678"/>
      <c r="J106" s="678"/>
      <c r="K106" s="678"/>
      <c r="L106" s="678"/>
      <c r="M106" s="700"/>
      <c r="N106" s="1155"/>
      <c r="O106" s="1155"/>
      <c r="P106" s="559"/>
      <c r="Q106" s="560"/>
    </row>
    <row r="107" spans="1:17">
      <c r="A107" s="528" t="s">
        <v>2561</v>
      </c>
      <c r="B107" s="529" t="s">
        <v>2788</v>
      </c>
      <c r="C107" s="530" t="str">
        <f t="shared" ref="C107:L107" si="24">C108&amp;"(含)"&amp;"-"&amp;D108</f>
        <v>(含)-</v>
      </c>
      <c r="D107" s="530" t="str">
        <f t="shared" si="24"/>
        <v>(含)-</v>
      </c>
      <c r="E107" s="530" t="str">
        <f t="shared" si="24"/>
        <v>(含)-</v>
      </c>
      <c r="F107" s="530" t="str">
        <f t="shared" si="24"/>
        <v>(含)-</v>
      </c>
      <c r="G107" s="530" t="str">
        <f t="shared" si="24"/>
        <v>(含)-</v>
      </c>
      <c r="H107" s="530" t="str">
        <f t="shared" si="24"/>
        <v>(含)-</v>
      </c>
      <c r="I107" s="530" t="str">
        <f t="shared" si="24"/>
        <v>(含)-</v>
      </c>
      <c r="J107" s="530" t="str">
        <f t="shared" si="24"/>
        <v>(含)-</v>
      </c>
      <c r="K107" s="1769" t="str">
        <f t="shared" si="24"/>
        <v>(含)-</v>
      </c>
      <c r="L107" s="1769" t="str">
        <f t="shared" si="24"/>
        <v>(含)-</v>
      </c>
      <c r="M107" s="1770" t="str">
        <f>M108&amp;"(含)"&amp;"-"&amp;P108</f>
        <v>(含)-</v>
      </c>
      <c r="N107" s="1154"/>
      <c r="O107" s="1154"/>
      <c r="P107" s="45"/>
      <c r="Q107" s="505"/>
    </row>
    <row r="108" spans="1:17" ht="15">
      <c r="A108" s="535"/>
      <c r="B108" s="547"/>
      <c r="C108" s="596"/>
      <c r="D108" s="596"/>
      <c r="E108" s="596"/>
      <c r="F108" s="596"/>
      <c r="G108" s="596"/>
      <c r="H108" s="596"/>
      <c r="I108" s="596"/>
      <c r="J108" s="597"/>
      <c r="K108" s="597"/>
      <c r="L108" s="598"/>
      <c r="M108" s="599"/>
      <c r="N108" s="1154"/>
      <c r="O108" s="1154"/>
      <c r="P108" s="45"/>
      <c r="Q108" s="505"/>
    </row>
    <row r="109" spans="1:17" ht="15.75" thickBot="1">
      <c r="A109" s="535"/>
      <c r="B109" s="544"/>
      <c r="C109" s="571"/>
      <c r="D109" s="592"/>
      <c r="E109" s="592"/>
      <c r="F109" s="592"/>
      <c r="G109" s="592"/>
      <c r="H109" s="592"/>
      <c r="I109" s="592"/>
      <c r="J109" s="592"/>
      <c r="K109" s="592"/>
      <c r="L109" s="592"/>
      <c r="M109" s="593"/>
      <c r="N109" s="1155"/>
      <c r="O109" s="1155"/>
      <c r="P109" s="45"/>
      <c r="Q109" s="505"/>
    </row>
    <row r="110" spans="1:17" ht="15" thickTop="1">
      <c r="A110" s="600"/>
      <c r="B110" s="539" t="s">
        <v>2789</v>
      </c>
      <c r="C110" s="584"/>
      <c r="D110" s="584"/>
      <c r="E110" s="584"/>
      <c r="F110" s="584"/>
      <c r="G110" s="584"/>
      <c r="H110" s="584"/>
      <c r="I110" s="584"/>
      <c r="J110" s="584"/>
      <c r="K110" s="585"/>
      <c r="L110" s="586"/>
      <c r="M110" s="587"/>
      <c r="N110" s="1154"/>
      <c r="O110" s="1154"/>
      <c r="P110" s="45"/>
      <c r="Q110" s="505"/>
    </row>
    <row r="111" spans="1:17" ht="15.75" thickBot="1">
      <c r="A111" s="535"/>
      <c r="B111" s="544"/>
      <c r="C111" s="545">
        <v>100</v>
      </c>
      <c r="D111" s="545">
        <f t="shared" ref="D111:M111" si="25">C111-$K35</f>
        <v>100</v>
      </c>
      <c r="E111" s="545">
        <f t="shared" si="25"/>
        <v>100</v>
      </c>
      <c r="F111" s="545">
        <f t="shared" si="25"/>
        <v>100</v>
      </c>
      <c r="G111" s="545">
        <f t="shared" si="25"/>
        <v>100</v>
      </c>
      <c r="H111" s="545">
        <f t="shared" si="25"/>
        <v>100</v>
      </c>
      <c r="I111" s="545">
        <f t="shared" si="25"/>
        <v>100</v>
      </c>
      <c r="J111" s="545">
        <f t="shared" si="25"/>
        <v>100</v>
      </c>
      <c r="K111" s="545">
        <f t="shared" si="25"/>
        <v>100</v>
      </c>
      <c r="L111" s="545">
        <f t="shared" si="25"/>
        <v>100</v>
      </c>
      <c r="M111" s="546">
        <f t="shared" si="25"/>
        <v>100</v>
      </c>
      <c r="N111" s="1155"/>
      <c r="O111" s="1155"/>
      <c r="P111" s="45"/>
      <c r="Q111" s="505"/>
    </row>
    <row r="112" spans="1:17" s="472" customFormat="1" ht="15" thickTop="1">
      <c r="A112" s="594"/>
      <c r="B112" s="539" t="s">
        <v>2791</v>
      </c>
      <c r="C112" s="555"/>
      <c r="D112" s="555"/>
      <c r="E112" s="555"/>
      <c r="F112" s="555"/>
      <c r="G112" s="555"/>
      <c r="H112" s="584"/>
      <c r="I112" s="584"/>
      <c r="J112" s="584"/>
      <c r="K112" s="585"/>
      <c r="L112" s="586"/>
      <c r="M112" s="587"/>
      <c r="N112" s="1156"/>
      <c r="O112" s="1156"/>
      <c r="P112" s="559"/>
      <c r="Q112" s="560"/>
    </row>
    <row r="113" spans="1:17" s="472" customFormat="1" ht="15.75" thickBot="1">
      <c r="A113" s="554"/>
      <c r="B113" s="544"/>
      <c r="C113" s="545">
        <v>100</v>
      </c>
      <c r="D113" s="545">
        <f t="shared" ref="D113:M113" si="26">C113-$K36</f>
        <v>100</v>
      </c>
      <c r="E113" s="545">
        <f t="shared" si="26"/>
        <v>100</v>
      </c>
      <c r="F113" s="545">
        <f t="shared" si="26"/>
        <v>100</v>
      </c>
      <c r="G113" s="545">
        <f t="shared" si="26"/>
        <v>100</v>
      </c>
      <c r="H113" s="545">
        <f t="shared" si="26"/>
        <v>100</v>
      </c>
      <c r="I113" s="545">
        <f t="shared" si="26"/>
        <v>100</v>
      </c>
      <c r="J113" s="545">
        <f t="shared" si="26"/>
        <v>100</v>
      </c>
      <c r="K113" s="545">
        <f t="shared" si="26"/>
        <v>100</v>
      </c>
      <c r="L113" s="545">
        <f t="shared" si="26"/>
        <v>100</v>
      </c>
      <c r="M113" s="546">
        <f t="shared" si="26"/>
        <v>100</v>
      </c>
      <c r="N113" s="1156"/>
      <c r="O113" s="1156"/>
      <c r="P113" s="559"/>
      <c r="Q113" s="560"/>
    </row>
    <row r="114" spans="1:17" ht="15" thickTop="1">
      <c r="A114" s="600"/>
      <c r="B114" s="539" t="s">
        <v>2792</v>
      </c>
      <c r="C114" s="555"/>
      <c r="D114" s="555"/>
      <c r="E114" s="584"/>
      <c r="F114" s="584"/>
      <c r="G114" s="584"/>
      <c r="H114" s="584"/>
      <c r="I114" s="584"/>
      <c r="J114" s="584"/>
      <c r="K114" s="585"/>
      <c r="L114" s="586"/>
      <c r="M114" s="587"/>
      <c r="N114" s="1154"/>
      <c r="O114" s="1154"/>
      <c r="P114" s="45"/>
      <c r="Q114" s="505"/>
    </row>
    <row r="115" spans="1:17" ht="15.75" thickBot="1">
      <c r="A115" s="535"/>
      <c r="B115" s="544"/>
      <c r="C115" s="545">
        <v>100</v>
      </c>
      <c r="D115" s="545">
        <f t="shared" ref="D115:M115" si="27">C115-$K37</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6">
        <f t="shared" si="27"/>
        <v>100</v>
      </c>
      <c r="N115" s="1155"/>
      <c r="O115" s="1155"/>
      <c r="P115" s="45"/>
      <c r="Q115" s="505"/>
    </row>
    <row r="116" spans="1:17" ht="15" thickTop="1">
      <c r="A116" s="600"/>
      <c r="B116" s="539">
        <f>B38</f>
        <v>111</v>
      </c>
      <c r="C116" s="555"/>
      <c r="D116" s="555"/>
      <c r="E116" s="555"/>
      <c r="F116" s="555"/>
      <c r="G116" s="555"/>
      <c r="H116" s="584"/>
      <c r="I116" s="584"/>
      <c r="J116" s="584"/>
      <c r="K116" s="585"/>
      <c r="L116" s="586"/>
      <c r="M116" s="587"/>
      <c r="N116" s="1154"/>
      <c r="O116" s="1154"/>
      <c r="P116" s="45"/>
      <c r="Q116" s="505"/>
    </row>
    <row r="117" spans="1:17" ht="15.75" thickBot="1">
      <c r="A117" s="535"/>
      <c r="B117" s="544"/>
      <c r="C117" s="561"/>
      <c r="D117" s="537"/>
      <c r="E117" s="537"/>
      <c r="F117" s="537"/>
      <c r="G117" s="537"/>
      <c r="H117" s="537"/>
      <c r="I117" s="537"/>
      <c r="J117" s="537"/>
      <c r="K117" s="537"/>
      <c r="L117" s="537"/>
      <c r="M117" s="538"/>
      <c r="N117" s="1155"/>
      <c r="O117" s="1155"/>
      <c r="P117" s="45"/>
      <c r="Q117" s="505"/>
    </row>
    <row r="118" spans="1:17" ht="15" thickTop="1">
      <c r="A118" s="600"/>
      <c r="B118" s="539">
        <f>B39</f>
        <v>111</v>
      </c>
      <c r="C118" s="555"/>
      <c r="D118" s="555"/>
      <c r="E118" s="555"/>
      <c r="F118" s="555"/>
      <c r="G118" s="584"/>
      <c r="H118" s="584"/>
      <c r="I118" s="584"/>
      <c r="J118" s="584"/>
      <c r="K118" s="585"/>
      <c r="L118" s="586"/>
      <c r="M118" s="587"/>
      <c r="N118" s="1154"/>
      <c r="O118" s="1154"/>
      <c r="P118" s="45"/>
      <c r="Q118" s="505"/>
    </row>
    <row r="119" spans="1:17" ht="15.75" thickBot="1">
      <c r="A119" s="535"/>
      <c r="B119" s="544"/>
      <c r="C119" s="561"/>
      <c r="D119" s="561"/>
      <c r="E119" s="561"/>
      <c r="F119" s="561"/>
      <c r="G119" s="537"/>
      <c r="H119" s="537"/>
      <c r="I119" s="537"/>
      <c r="J119" s="537"/>
      <c r="K119" s="537"/>
      <c r="L119" s="537"/>
      <c r="M119" s="538"/>
      <c r="N119" s="1155"/>
      <c r="O119" s="1155"/>
      <c r="P119" s="45"/>
      <c r="Q119" s="505"/>
    </row>
    <row r="120" spans="1:17" s="472" customFormat="1" ht="15" thickTop="1">
      <c r="A120" s="594"/>
      <c r="B120" s="539">
        <f>B40</f>
        <v>111</v>
      </c>
      <c r="C120" s="524"/>
      <c r="D120" s="524"/>
      <c r="E120" s="524"/>
      <c r="F120" s="524"/>
      <c r="G120" s="556"/>
      <c r="H120" s="556"/>
      <c r="I120" s="556"/>
      <c r="J120" s="556"/>
      <c r="K120" s="556"/>
      <c r="L120" s="557"/>
      <c r="M120" s="558"/>
      <c r="N120" s="1156"/>
      <c r="O120" s="1156"/>
      <c r="P120" s="559"/>
      <c r="Q120" s="560"/>
    </row>
    <row r="121" spans="1:17" s="472" customFormat="1" ht="15.75" thickBot="1">
      <c r="A121" s="569"/>
      <c r="B121" s="701"/>
      <c r="C121" s="571"/>
      <c r="D121" s="571"/>
      <c r="E121" s="571"/>
      <c r="F121" s="571"/>
      <c r="G121" s="592"/>
      <c r="H121" s="592"/>
      <c r="I121" s="592"/>
      <c r="J121" s="592"/>
      <c r="K121" s="592"/>
      <c r="L121" s="592"/>
      <c r="M121" s="593"/>
      <c r="N121" s="1156"/>
      <c r="O121" s="1156"/>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1" t="s">
        <v>2801</v>
      </c>
      <c r="B1" s="242"/>
      <c r="C1" s="246" t="s">
        <v>2802</v>
      </c>
      <c r="D1" s="389">
        <f>SUM(D29:D30,D33:D39)</f>
        <v>0</v>
      </c>
      <c r="E1" s="2720"/>
      <c r="F1" s="2720"/>
      <c r="G1" s="2720"/>
      <c r="H1" s="2720"/>
      <c r="I1" s="2720"/>
      <c r="J1" s="2720"/>
      <c r="K1" s="1372"/>
      <c r="L1" s="2721" t="s">
        <v>2803</v>
      </c>
      <c r="M1" s="1082">
        <f>SUMPRODUCT((区片价!B5:B9=I2)*(区片价!C3:F3=E2)*(区片价!C5:F9))</f>
        <v>0</v>
      </c>
      <c r="N1" s="1085">
        <f>SUMPRODUCT((因素修正幅度!B5:B9=I2)*(因素修正幅度!C3:F3=E2)*(因素修正幅度!C5:F9))</f>
        <v>0</v>
      </c>
      <c r="O1" s="2722"/>
      <c r="P1" s="2722"/>
      <c r="Q1" s="1372"/>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6" t="s">
        <v>2809</v>
      </c>
      <c r="B2" s="249" t="e">
        <f>C26</f>
        <v>#DIV/0!</v>
      </c>
      <c r="C2" s="2724" t="s">
        <v>2810</v>
      </c>
      <c r="D2" s="2725" t="s">
        <v>2811</v>
      </c>
      <c r="E2" s="2726"/>
      <c r="F2" s="2725" t="s">
        <v>2812</v>
      </c>
      <c r="G2" s="2727">
        <f>IF(E2="商业",项目基本情况!B37,IF(E2="办公",项目基本情况!C37,IF(E2="住宅",项目基本情况!D37,项目基本情况!E37)))</f>
        <v>0</v>
      </c>
      <c r="H2" s="2725" t="s">
        <v>2813</v>
      </c>
      <c r="I2" s="2727">
        <f>IF(E2="商业",项目基本情况!B38,IF(E2="办公",项目基本情况!C38,IF(E2="住宅",项目基本情况!D38,项目基本情况!E38)))</f>
        <v>0</v>
      </c>
      <c r="J2" s="2728"/>
      <c r="K2" s="1372"/>
      <c r="L2" s="2729" t="s">
        <v>2814</v>
      </c>
      <c r="M2" s="1083">
        <f>SUMPRODUCT((区片价!B10:B28=I2)*(区片价!C3:F3=E2)*(区片价!C10:F28))</f>
        <v>0</v>
      </c>
      <c r="N2" s="1085">
        <f>SUMPRODUCT((因素修正幅度!B10:B28=I2)*(因素修正幅度!C3:F3=E2)*(因素修正幅度!C10:F28))</f>
        <v>0</v>
      </c>
      <c r="O2" s="1372"/>
      <c r="P2" s="1372"/>
      <c r="Q2" s="1372"/>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8" t="s">
        <v>2815</v>
      </c>
      <c r="B3" s="249" t="e">
        <f>ROUND(B2*10000/D1,0)</f>
        <v>#DIV/0!</v>
      </c>
      <c r="C3" s="2724" t="s">
        <v>2816</v>
      </c>
      <c r="D3" s="2725" t="s">
        <v>2817</v>
      </c>
      <c r="E3" s="2730"/>
      <c r="F3" s="2731" t="s">
        <v>2818</v>
      </c>
      <c r="G3" s="915" t="e">
        <f>IF(F3="宗地容积率",'数据-汇总表'!I4,IF(F3="估价对象容积率",'数据-汇总表'!I6,'数据-汇总表'!I7))</f>
        <v>#DIV/0!</v>
      </c>
      <c r="H3" s="199" t="s">
        <v>2819</v>
      </c>
      <c r="I3" s="946"/>
      <c r="J3" s="2728" t="s">
        <v>2820</v>
      </c>
      <c r="K3" s="1372"/>
      <c r="L3" s="2729" t="s">
        <v>2821</v>
      </c>
      <c r="M3" s="1083">
        <f>SUMPRODUCT((区片价!B29:B48=I2)*(区片价!C3:F3=E2)*(区片价!C29:F48))</f>
        <v>0</v>
      </c>
      <c r="N3" s="1085">
        <f>SUMPRODUCT((因素修正幅度!B29:B48=I2)*(因素修正幅度!C3:F3=E2)*(因素修正幅度!C29:F48))</f>
        <v>0</v>
      </c>
      <c r="O3" s="1372"/>
      <c r="P3" s="1372"/>
      <c r="Q3" s="1372"/>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6"/>
      <c r="B4" s="3267"/>
      <c r="C4" s="3267"/>
      <c r="D4" s="3268"/>
      <c r="E4" s="3268"/>
      <c r="F4" s="3268"/>
      <c r="G4" s="3268"/>
      <c r="H4" s="3268"/>
      <c r="I4" s="3268"/>
      <c r="J4" s="3269"/>
      <c r="K4" s="1372"/>
      <c r="L4" s="2729" t="s">
        <v>2822</v>
      </c>
      <c r="M4" s="1083">
        <f>SUMPRODUCT((区片价!B49:B75=I2)*(区片价!C3:F3=E2)*(区片价!C49:F75))</f>
        <v>0</v>
      </c>
      <c r="N4" s="1085">
        <f>SUMPRODUCT((因素修正幅度!B49:B75=I2)*(因素修正幅度!C3:F3=E2)*(因素修正幅度!C49:F75))</f>
        <v>0</v>
      </c>
      <c r="O4" s="1372"/>
      <c r="P4" s="1372"/>
      <c r="Q4" s="1372"/>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6" t="e">
        <f>ROUND(IF(E2="商业",IF(F16="增加",C6*C7+C16,C6*C7-C16),IF(E2="住宅",IF(F16="增加",C6*C12+C16,C6*C12-C16),IF(F16="增加",C6+C16,C6-C16))),0)</f>
        <v>#DIV/0!</v>
      </c>
      <c r="D5" s="1790">
        <f>ROUND(IF(E2="商业",IF(F16="增加",C6+C16,C6-C16)),0)</f>
        <v>0</v>
      </c>
      <c r="E5" s="2734"/>
      <c r="F5" s="2734"/>
      <c r="G5" s="2735"/>
      <c r="H5" s="2735"/>
      <c r="I5" s="2735"/>
      <c r="J5" s="2736"/>
      <c r="K5" s="2737"/>
      <c r="L5" s="2729" t="s">
        <v>2824</v>
      </c>
      <c r="M5" s="1083">
        <f>SUMPRODUCT((区片价!B76:B109=I2)*(区片价!C3:F3=E2)*(区片价!C76:F109))</f>
        <v>0</v>
      </c>
      <c r="N5" s="1085">
        <f>SUMPRODUCT((因素修正幅度!B76:B109=I2)*(因素修正幅度!C3:F3=E2)*(因素修正幅度!C76:F109))</f>
        <v>0</v>
      </c>
      <c r="O5" s="1372"/>
      <c r="P5" s="1372"/>
      <c r="Q5" s="1372"/>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2825</v>
      </c>
      <c r="B6" s="2743" t="s">
        <v>2826</v>
      </c>
      <c r="C6" s="917">
        <f>SUMIF(L1:L12,G2,M1:M12)</f>
        <v>0</v>
      </c>
      <c r="D6" s="2744" t="s">
        <v>2827</v>
      </c>
      <c r="E6" s="2745"/>
      <c r="F6" s="2745"/>
      <c r="G6" s="2746"/>
      <c r="H6" s="2746"/>
      <c r="I6" s="2746"/>
      <c r="J6" s="2747"/>
      <c r="K6" s="1845"/>
      <c r="L6" s="2729" t="s">
        <v>2828</v>
      </c>
      <c r="M6" s="1083">
        <f>SUMPRODUCT((区片价!B110:B157=I2)*(区片价!C3:F3=E2)*(区片价!C110:F157))</f>
        <v>0</v>
      </c>
      <c r="N6" s="1085">
        <f>SUMPRODUCT((因素修正幅度!B110:B157=I2)*(因素修正幅度!C3:F3=E2)*(因素修正幅度!C110:F157))</f>
        <v>0</v>
      </c>
      <c r="O6" s="1372"/>
      <c r="P6" s="1372"/>
      <c r="Q6" s="1372"/>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52" t="str">
        <f>IF(E2="商业",IF(C8="不临58条商业街","",2),"")</f>
        <v/>
      </c>
      <c r="B7" s="2748" t="s">
        <v>2829</v>
      </c>
      <c r="C7" s="918" t="e">
        <f>IF(C8="不临58条商业街",1,ROUND(1+(1.6*E8+1.2*E9+0.8*E10+0.4*E11)*C9,4))</f>
        <v>#DIV/0!</v>
      </c>
      <c r="D7" s="2749" t="s">
        <v>2830</v>
      </c>
      <c r="E7" s="947"/>
      <c r="F7" s="2750"/>
      <c r="G7" s="2751"/>
      <c r="H7" s="2751"/>
      <c r="I7" s="2751"/>
      <c r="J7" s="2752"/>
      <c r="K7" s="1845"/>
      <c r="L7" s="2729" t="s">
        <v>2831</v>
      </c>
      <c r="M7" s="1083">
        <f>SUMPRODUCT((区片价!B158:B205=I2)*(区片价!C3:F3=E2)*(区片价!C158:F205))</f>
        <v>0</v>
      </c>
      <c r="N7" s="1085">
        <f>SUMPRODUCT((因素修正幅度!B158:B205=I2)*(因素修正幅度!C3:F3=E2)*(因素修正幅度!C158:F205))</f>
        <v>0</v>
      </c>
      <c r="O7" s="1372"/>
      <c r="P7" s="1372"/>
      <c r="Q7" s="1372"/>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2832</v>
      </c>
      <c r="X7" s="1607">
        <f>G2</f>
        <v>0</v>
      </c>
      <c r="Y7" s="1607" t="s">
        <v>2833</v>
      </c>
      <c r="Z7" s="1608" t="e">
        <f>G3</f>
        <v>#DIV/0!</v>
      </c>
      <c r="AA7" s="1609"/>
      <c r="AB7" s="1609"/>
      <c r="AC7" s="1610"/>
      <c r="AD7" s="1611"/>
      <c r="AE7" s="1611"/>
      <c r="AF7" s="1611"/>
      <c r="AG7" s="1611"/>
      <c r="AH7" s="1611"/>
      <c r="AI7" s="1611"/>
      <c r="AJ7" s="1612"/>
    </row>
    <row r="8" spans="1:36" ht="15">
      <c r="A8" s="3253"/>
      <c r="B8" s="199" t="s">
        <v>2834</v>
      </c>
      <c r="C8" s="2753"/>
      <c r="D8" s="919" t="s">
        <v>139</v>
      </c>
      <c r="E8" s="920" t="e">
        <f>ROUND(C11/E7,4)</f>
        <v>#DIV/0!</v>
      </c>
      <c r="F8" s="2754" t="s">
        <v>2835</v>
      </c>
      <c r="G8" s="2755"/>
      <c r="H8" s="2755"/>
      <c r="I8" s="2755"/>
      <c r="J8" s="2756"/>
      <c r="K8" s="1372"/>
      <c r="L8" s="2729" t="s">
        <v>2836</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63" t="s">
        <v>2837</v>
      </c>
      <c r="X8" s="3264"/>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53"/>
      <c r="B9" s="199" t="s">
        <v>2850</v>
      </c>
      <c r="C9" s="921">
        <f>SUMIF(修正!C59:C119,C8,修正!E59:E119)</f>
        <v>0</v>
      </c>
      <c r="D9" s="201" t="s">
        <v>140</v>
      </c>
      <c r="E9" s="201" t="e">
        <f>ROUND(C11/E7,4)</f>
        <v>#DIV/0!</v>
      </c>
      <c r="F9" s="2754" t="s">
        <v>2851</v>
      </c>
      <c r="G9" s="2755"/>
      <c r="H9" s="2755"/>
      <c r="I9" s="2755"/>
      <c r="J9" s="2756"/>
      <c r="K9" s="1372"/>
      <c r="L9" s="2729" t="s">
        <v>2852</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65"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3"/>
      <c r="B10" s="199" t="s">
        <v>2855</v>
      </c>
      <c r="C10" s="201">
        <f>SUMIF(修正!C59:C119,C8,修正!F59:F119)</f>
        <v>0</v>
      </c>
      <c r="D10" s="201" t="s">
        <v>141</v>
      </c>
      <c r="E10" s="201" t="e">
        <f>ROUND(C11/E7,4)</f>
        <v>#DIV/0!</v>
      </c>
      <c r="F10" s="2754" t="s">
        <v>2856</v>
      </c>
      <c r="G10" s="2755"/>
      <c r="H10" s="2755"/>
      <c r="I10" s="2755"/>
      <c r="J10" s="2756"/>
      <c r="K10" s="1372"/>
      <c r="L10" s="2729" t="s">
        <v>2857</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3"/>
      <c r="B11" s="2757" t="s">
        <v>2858</v>
      </c>
      <c r="C11" s="922">
        <f>C10/4</f>
        <v>0</v>
      </c>
      <c r="D11" s="922" t="s">
        <v>142</v>
      </c>
      <c r="E11" s="922" t="e">
        <f>ROUND(C11/E7,4)</f>
        <v>#DIV/0!</v>
      </c>
      <c r="F11" s="2758" t="s">
        <v>2859</v>
      </c>
      <c r="G11" s="2759"/>
      <c r="H11" s="2759"/>
      <c r="I11" s="2759"/>
      <c r="J11" s="2760"/>
      <c r="K11" s="1372"/>
      <c r="L11" s="2729" t="s">
        <v>2860</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65" t="s">
        <v>2861</v>
      </c>
      <c r="X11" s="1617" t="s">
        <v>2862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2" t="s">
        <v>2863</v>
      </c>
      <c r="B12" s="2761" t="s">
        <v>2864</v>
      </c>
      <c r="C12" s="918">
        <f>ROUND(C15*D15*E15*F15*G15*H15*I15*J15,4)</f>
        <v>1</v>
      </c>
      <c r="D12" s="2762" t="s">
        <v>2865</v>
      </c>
      <c r="E12" s="2763"/>
      <c r="F12" s="2763"/>
      <c r="G12" s="2764"/>
      <c r="H12" s="2764"/>
      <c r="I12" s="2764"/>
      <c r="J12" s="2765"/>
      <c r="K12" s="1372"/>
      <c r="L12" s="2766" t="s">
        <v>2866</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65"/>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0"/>
      <c r="B13" s="2767" t="s">
        <v>2868</v>
      </c>
      <c r="C13" s="2768" t="s">
        <v>2869</v>
      </c>
      <c r="D13" s="1811" t="s">
        <v>2870</v>
      </c>
      <c r="E13" s="1811" t="s">
        <v>2871</v>
      </c>
      <c r="F13" s="30" t="s">
        <v>2872</v>
      </c>
      <c r="G13" s="2769" t="s">
        <v>2873</v>
      </c>
      <c r="H13" s="2769" t="s">
        <v>2873</v>
      </c>
      <c r="I13" s="2769" t="s">
        <v>2873</v>
      </c>
      <c r="J13" s="2770" t="s">
        <v>2873</v>
      </c>
      <c r="K13" s="1372"/>
      <c r="L13" s="1372"/>
      <c r="M13" s="1372"/>
      <c r="N13" s="1372"/>
      <c r="O13" s="1372"/>
      <c r="P13" s="1372"/>
      <c r="Q13" s="1372"/>
      <c r="R13" s="1605">
        <v>12</v>
      </c>
      <c r="S13" s="1606"/>
      <c r="T13" s="1605" t="e">
        <f t="shared" si="0"/>
        <v>#DIV/0!</v>
      </c>
      <c r="U13" s="1606"/>
      <c r="V13" s="1605" t="e">
        <f t="shared" si="1"/>
        <v>#DIV/0!</v>
      </c>
      <c r="W13" s="3265"/>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0"/>
      <c r="B14" s="2771"/>
      <c r="C14" s="2772"/>
      <c r="D14" s="2773"/>
      <c r="E14" s="2773"/>
      <c r="F14" s="2774"/>
      <c r="G14" s="2775" t="s">
        <v>2874</v>
      </c>
      <c r="H14" s="2776"/>
      <c r="I14" s="2777"/>
      <c r="J14" s="2778"/>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1"/>
      <c r="B15" s="2779" t="s">
        <v>2875</v>
      </c>
      <c r="C15" s="230">
        <f>IF(C14="有",1.1,1)</f>
        <v>1</v>
      </c>
      <c r="D15" s="230">
        <f>IF(D14="有",1.1,1)</f>
        <v>1</v>
      </c>
      <c r="E15" s="230">
        <f>IF(E14="有",1.1,1)</f>
        <v>1</v>
      </c>
      <c r="F15" s="230">
        <f>IF(F14="500米范围内",1.2,IF(F14="500-1000米",1.1,1))</f>
        <v>1</v>
      </c>
      <c r="G15" s="948">
        <v>1</v>
      </c>
      <c r="H15" s="948">
        <v>1</v>
      </c>
      <c r="I15" s="948">
        <v>1</v>
      </c>
      <c r="J15" s="949">
        <v>1</v>
      </c>
      <c r="K15" s="1372"/>
      <c r="L15" s="2780" t="s">
        <v>2811</v>
      </c>
      <c r="M15" s="919" t="s">
        <v>2876</v>
      </c>
      <c r="N15" s="919" t="s">
        <v>2877</v>
      </c>
      <c r="O15" s="919" t="s">
        <v>2878</v>
      </c>
      <c r="P15" s="2781" t="s">
        <v>2879</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2" t="s">
        <v>2880</v>
      </c>
      <c r="B16" s="2748" t="s">
        <v>2881</v>
      </c>
      <c r="C16" s="1804" t="e">
        <f>ROUND(SUM(G17:J17)/C17,0)</f>
        <v>#DIV/0!</v>
      </c>
      <c r="D16" s="2782" t="s">
        <v>2882</v>
      </c>
      <c r="E16" s="2783"/>
      <c r="F16" s="2784"/>
      <c r="G16" s="2785"/>
      <c r="H16" s="2785"/>
      <c r="I16" s="2785"/>
      <c r="J16" s="2786"/>
      <c r="K16" s="1372"/>
      <c r="L16" s="2787" t="s">
        <v>2883</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3"/>
      <c r="B17" s="2788" t="s">
        <v>2884</v>
      </c>
      <c r="C17" s="923">
        <f>SUMPRODUCT((修正!A2:A5=E2)*(修正!B1:M1=G2)*(修正!B2:M5))</f>
        <v>0</v>
      </c>
      <c r="D17" s="2789" t="s">
        <v>2885</v>
      </c>
      <c r="E17" s="922" t="str">
        <f>IF(OR(G2="八级",G2="九级",G2="十级",G2="十一级",G2="十二级"),"五通一平","七通一平")</f>
        <v>七通一平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2887</v>
      </c>
      <c r="M17" s="212">
        <f ca="1">ROUND($E$20*(1+M16),3)</f>
        <v>5.3999999999999999E-2</v>
      </c>
      <c r="N17" s="212">
        <f ca="1">ROUND($E$20*(1+N16),3)</f>
        <v>5.1999999999999998E-2</v>
      </c>
      <c r="O17" s="212">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2888</v>
      </c>
      <c r="C18" s="925">
        <f>SUMIF(修正!C18:C39,E3,修正!E18:E39)</f>
        <v>0</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2889</v>
      </c>
      <c r="C19" s="926" t="e">
        <f>ROUND(IF(H19="按公示增长率计算",SUMPRODUCT((地价!A3:A20=YEAR(G19)&amp;"-"&amp;ROUNDUP(MONTH(G19)/3,0))*(地价!X2:AB2=E2)*(地价!X3:AB20)),IF(H19="地价指数",M20/M19,(1+I19)^O19)),4)</f>
        <v>#DIV/0!</v>
      </c>
      <c r="D19" s="2800" t="s">
        <v>2890</v>
      </c>
      <c r="E19" s="927">
        <v>41640</v>
      </c>
      <c r="F19" s="2800" t="s">
        <v>2891</v>
      </c>
      <c r="G19" s="928">
        <f>'数据-取费表'!B2</f>
        <v>43040</v>
      </c>
      <c r="H19" s="2801" t="s">
        <v>2892</v>
      </c>
      <c r="I19" s="929" t="str">
        <f>IF(H19="季度增幅（自定义）",SUMIF(N21:N24,E2,O21:O24),"")</f>
        <v/>
      </c>
      <c r="J19" s="2798"/>
      <c r="K19" s="1379"/>
      <c r="L19" s="2802" t="s">
        <v>2893</v>
      </c>
      <c r="M19" s="1737">
        <f>ROUND(SUMIF(地价!B2:F2,E2,地价!B20:F20),0)</f>
        <v>0</v>
      </c>
      <c r="N19" s="2803" t="s">
        <v>2894</v>
      </c>
      <c r="O19" s="930">
        <f>ROUNDDOWN(DATEDIF(E19,G19,"M")/3,0)</f>
        <v>15</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2895</v>
      </c>
      <c r="C20" s="931" t="e">
        <f>ROUND(POWER(1+G20,J20-I20)*(POWER(1+G20,I20)-1)/(POWER(1+G20,J20)-1),4)</f>
        <v>#DIV/0!</v>
      </c>
      <c r="D20" s="2809" t="s">
        <v>2896</v>
      </c>
      <c r="E20" s="1771">
        <f ca="1">存贷款利率!D4/100</f>
        <v>4.3499999999999997E-2</v>
      </c>
      <c r="F20" s="2809" t="s">
        <v>2887</v>
      </c>
      <c r="G20" s="936">
        <f>SUMIF(M15:P15,E2,M17:P17)</f>
        <v>0</v>
      </c>
      <c r="H20" s="2809" t="s">
        <v>2897</v>
      </c>
      <c r="I20" s="937" t="e">
        <f>SUMIF('数据-取费表'!C6:C15,E2,'数据-取费表'!F6:F15)/COUNTIF('数据-取费表'!C6:C15,E2)</f>
        <v>#DIV/0!</v>
      </c>
      <c r="J20" s="938">
        <f>IF(E2="住宅",70,IF(E2="商业",40,50))</f>
        <v>50</v>
      </c>
      <c r="K20" s="1379"/>
      <c r="L20" s="2810" t="s">
        <v>2898</v>
      </c>
      <c r="M20" s="1738">
        <f>ROUND(SUMPRODUCT((地价!A5:A20=YEAR(G19)&amp;"-"&amp;ROUNDUP(MONTH(G19)/3,0))*(地价!B2:F2=E2)*(地价!B5:F20)),0)</f>
        <v>0</v>
      </c>
      <c r="N20" s="2811" t="s">
        <v>2899</v>
      </c>
      <c r="O20" s="2812" t="s">
        <v>2900</v>
      </c>
      <c r="P20" s="2813" t="s">
        <v>2901</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2902</v>
      </c>
      <c r="C21" s="939" t="e">
        <f>IF(B21="容积率修正",IF(G3&lt;=10,D22,J22),C23)</f>
        <v>#DIV/0!</v>
      </c>
      <c r="D21" s="2816"/>
      <c r="E21" s="2816"/>
      <c r="F21" s="2816"/>
      <c r="G21" s="2816"/>
      <c r="H21" s="2816"/>
      <c r="I21" s="2816"/>
      <c r="J21" s="2817"/>
      <c r="K21" s="1379"/>
      <c r="N21" s="2818" t="s">
        <v>2903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1" customFormat="1" ht="14.25">
      <c r="A22" s="2667" t="s">
        <v>2904</v>
      </c>
      <c r="B22" s="2819" t="s">
        <v>2905</v>
      </c>
      <c r="C22" s="1813" t="s">
        <v>2906</v>
      </c>
      <c r="D22" s="1813" t="e">
        <f>IF(E22=G22,F22,IF(G3&lt;=10,ROUND(F22+(H22-F22)*(G3-E22)/(G22-E22),4),"——"))</f>
        <v>#DIV/0!</v>
      </c>
      <c r="E22" s="915"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0" t="e">
        <f>IF(G3&gt;10,D113,"——")</f>
        <v>#DIV/0!</v>
      </c>
      <c r="K22" s="1379"/>
      <c r="N22" s="2818" t="s">
        <v>2907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7" t="s">
        <v>2908</v>
      </c>
      <c r="B23" s="2820" t="s">
        <v>2909</v>
      </c>
      <c r="C23" s="1015" t="e">
        <f>ROUND(IF(G3&gt;1,IF(I3&lt;7,SUMPRODUCT((B93:B98=I3)*(C92:N92=G2)*(C93:N98)),SUMIF(C92:N92,G2,C100:N100)),IF(I3&lt;7,SUMPRODUCT((B102:B107=I3)*(C92:N92=G2)*(C102:N107)),SUMIF(C92:N92,G2,C109:N109))),4)</f>
        <v>#DIV/0!</v>
      </c>
      <c r="D23" s="2776"/>
      <c r="E23" s="2776"/>
      <c r="F23" s="2821"/>
      <c r="G23" s="2822"/>
      <c r="H23" s="2823"/>
      <c r="I23" s="2824"/>
      <c r="J23" s="2825"/>
      <c r="K23" s="1372"/>
      <c r="N23" s="2818" t="s">
        <v>2910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2911</v>
      </c>
      <c r="C24" s="926">
        <f>SUMIF(A45:A88,E2,B45:B88)</f>
        <v>0</v>
      </c>
      <c r="D24" s="2796"/>
      <c r="E24" s="2826"/>
      <c r="F24" s="2826"/>
      <c r="G24" s="2826"/>
      <c r="H24" s="2826"/>
      <c r="I24" s="2826"/>
      <c r="J24" s="2827"/>
      <c r="K24" s="1379"/>
      <c r="N24" s="2828" t="s">
        <v>2912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2913</v>
      </c>
      <c r="C25" s="932"/>
      <c r="D25" s="2751"/>
      <c r="E25" s="2751"/>
      <c r="F25" s="2830"/>
      <c r="G25" s="2751"/>
      <c r="H25" s="2751"/>
      <c r="I25" s="2751"/>
      <c r="J25" s="2752"/>
      <c r="K25" s="1372"/>
      <c r="N25" s="2831" t="s">
        <v>2914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2"/>
      <c r="B26" s="2819" t="s">
        <v>2915</v>
      </c>
      <c r="C26" s="207" t="e">
        <f>E29+SUM(E33:E39)</f>
        <v>#DIV/0!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2916</v>
      </c>
      <c r="C27" s="933" t="e">
        <f>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2917</v>
      </c>
      <c r="C28" s="2843" t="s">
        <v>2918</v>
      </c>
      <c r="D28" s="2843" t="s">
        <v>2919</v>
      </c>
      <c r="E28" s="2844" t="s">
        <v>2920</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2921</v>
      </c>
      <c r="C29" s="207" t="e">
        <f>ROUND(C5*C18*C19*C20*C21*C24,0)</f>
        <v>#DIV/0!</v>
      </c>
      <c r="D29" s="2848"/>
      <c r="E29" s="944" t="e">
        <f>ROUND(C29*D29/10000,0)</f>
        <v>#DIV/0!</v>
      </c>
      <c r="F29" s="2849" t="s">
        <v>2922</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2923</v>
      </c>
      <c r="C30" s="230" t="e">
        <f>ROUND(IF(E2="工业",C29*M39,C29*M38),0)</f>
        <v>#DIV/0!</v>
      </c>
      <c r="D30" s="2854"/>
      <c r="E30" s="944" t="e">
        <f>ROUND(C30*D30/10000,0)</f>
        <v>#DIV/0!</v>
      </c>
      <c r="F30" s="2855" t="s">
        <v>2924</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2925</v>
      </c>
      <c r="C31" s="2860" t="s">
        <v>2926</v>
      </c>
      <c r="D31" s="2764"/>
      <c r="E31" s="2860"/>
      <c r="F31" s="2860"/>
      <c r="G31" s="2762" t="s">
        <v>2927</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2" t="s">
        <v>2918</v>
      </c>
      <c r="D32" s="499" t="s">
        <v>2919</v>
      </c>
      <c r="E32" s="499" t="s">
        <v>2920</v>
      </c>
      <c r="F32" s="389" t="s">
        <v>2928</v>
      </c>
      <c r="G32" s="2863" t="s">
        <v>2918</v>
      </c>
      <c r="H32" s="2863" t="s">
        <v>2919</v>
      </c>
      <c r="I32" s="2863" t="s">
        <v>2920</v>
      </c>
      <c r="J32" s="288"/>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60" t="s">
        <v>2929</v>
      </c>
      <c r="B33" s="2864" t="s">
        <v>2930</v>
      </c>
      <c r="C33" s="207" t="e">
        <f>ROUND(D5*C19*C20*C24*F33,0)</f>
        <v>#DIV/0!</v>
      </c>
      <c r="D33" s="2848"/>
      <c r="E33" s="201" t="e">
        <f>ROUND(C33*D33/10000,0)</f>
        <v>#DIV/0!</v>
      </c>
      <c r="F33" s="201">
        <f>SUMIF(修正!A45:A56,G2,修正!B45:B56)</f>
        <v>0</v>
      </c>
      <c r="G33" s="201" t="e">
        <f t="shared" ref="G33:G39" si="6">ROUND(IF(E2="工业",C33*$M$39,C33*$M$38),0)</f>
        <v>#DIV/0!</v>
      </c>
      <c r="H33" s="201">
        <f>D33</f>
        <v>0</v>
      </c>
      <c r="I33" s="201" t="e">
        <f>ROUND(G33*H33/10000,0)</f>
        <v>#DIV/0!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1"/>
      <c r="B34" s="2768" t="s">
        <v>2931</v>
      </c>
      <c r="C34" s="207" t="e">
        <f>ROUND(D5*C19*C20*C24*F34,0)</f>
        <v>#DIV/0!</v>
      </c>
      <c r="D34" s="2848"/>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1"/>
      <c r="B35" s="2768" t="s">
        <v>2932</v>
      </c>
      <c r="C35" s="207" t="e">
        <f>ROUND(D5*C19*C20*C24*F35,0)</f>
        <v>#DIV/0!</v>
      </c>
      <c r="D35" s="2848"/>
      <c r="E35" s="201" t="e">
        <f t="shared" si="7"/>
        <v>#DIV/0!</v>
      </c>
      <c r="F35" s="201">
        <f>SUMIF(修正!A45:A56,G2,修正!D45:D56)</f>
        <v>0</v>
      </c>
      <c r="G35" s="201" t="e">
        <f t="shared" si="6"/>
        <v>#DIV/0!</v>
      </c>
      <c r="H35" s="201">
        <f t="shared" si="8"/>
        <v>0</v>
      </c>
      <c r="I35" s="201" t="e">
        <f t="shared" si="9"/>
        <v>#DIV/0!</v>
      </c>
      <c r="J35" s="2865"/>
      <c r="K35" s="1372"/>
      <c r="L35" s="1372"/>
      <c r="M35" s="1372"/>
      <c r="N35" s="1372"/>
      <c r="O35" s="1372"/>
      <c r="P35" s="1372"/>
      <c r="Q35" s="1372"/>
      <c r="R35" s="1372"/>
      <c r="S35" s="1372"/>
      <c r="T35" s="1372"/>
      <c r="U35" s="1372"/>
      <c r="V35" s="1372"/>
      <c r="W35" s="1372"/>
      <c r="X35" s="1372"/>
      <c r="Y35" s="1372"/>
      <c r="Z35" s="1373"/>
    </row>
    <row r="36" spans="1:37" ht="13.5" thickBot="1">
      <c r="A36" s="3262"/>
      <c r="B36" s="2768" t="s">
        <v>2933</v>
      </c>
      <c r="C36" s="207" t="e">
        <f>ROUND(D5*C19*C20*C24*F36,0)</f>
        <v>#DIV/0!</v>
      </c>
      <c r="D36" s="2848"/>
      <c r="E36" s="201" t="e">
        <f t="shared" si="7"/>
        <v>#DIV/0!</v>
      </c>
      <c r="F36" s="201">
        <f>SUMIF(修正!A45:A56,G2,修正!E45:E56)</f>
        <v>0</v>
      </c>
      <c r="G36" s="201" t="e">
        <f t="shared" si="6"/>
        <v>#DIV/0!</v>
      </c>
      <c r="H36" s="201">
        <f t="shared" si="8"/>
        <v>0</v>
      </c>
      <c r="I36" s="201" t="e">
        <f t="shared" si="9"/>
        <v>#DIV/0!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2934</v>
      </c>
      <c r="C37" s="201" t="e">
        <f>ROUND(C5*C19*C20*C24*F37,0)</f>
        <v>#DIV/0!</v>
      </c>
      <c r="D37" s="2848"/>
      <c r="E37" s="201" t="e">
        <f t="shared" si="7"/>
        <v>#DIV/0!</v>
      </c>
      <c r="F37" s="207">
        <f>SUMIF(修正!A45:A56,G2,修正!F45:F56)</f>
        <v>0</v>
      </c>
      <c r="G37" s="201" t="e">
        <f t="shared" si="6"/>
        <v>#DIV/0!</v>
      </c>
      <c r="H37" s="201">
        <f t="shared" si="8"/>
        <v>0</v>
      </c>
      <c r="I37" s="201" t="e">
        <f t="shared" si="9"/>
        <v>#DIV/0!</v>
      </c>
      <c r="J37" s="2865"/>
      <c r="K37" s="1372"/>
      <c r="L37" s="2867" t="s">
        <v>2935</v>
      </c>
      <c r="M37" s="2868"/>
      <c r="N37" s="1372"/>
      <c r="O37" s="1372"/>
      <c r="P37" s="1372"/>
      <c r="Q37" s="1372"/>
      <c r="R37" s="1372"/>
      <c r="S37" s="1372"/>
      <c r="T37" s="1372"/>
      <c r="U37" s="1372"/>
      <c r="V37" s="1372"/>
      <c r="W37" s="1372"/>
      <c r="X37" s="1372"/>
      <c r="Y37" s="1372"/>
      <c r="Z37" s="1373"/>
    </row>
    <row r="38" spans="1:37">
      <c r="A38" s="2866"/>
      <c r="B38" s="2768" t="s">
        <v>2936</v>
      </c>
      <c r="C38" s="201" t="e">
        <f>ROUND(C5*C19*C20*C24*F38,0)</f>
        <v>#DIV/0!</v>
      </c>
      <c r="D38" s="2848"/>
      <c r="E38" s="201" t="e">
        <f t="shared" si="7"/>
        <v>#DIV/0!</v>
      </c>
      <c r="F38" s="207">
        <f>SUMIF(修正!A45:A56,G2,修正!G45:G56)</f>
        <v>0</v>
      </c>
      <c r="G38" s="201" t="e">
        <f t="shared" si="6"/>
        <v>#DIV/0!</v>
      </c>
      <c r="H38" s="201">
        <f t="shared" si="8"/>
        <v>0</v>
      </c>
      <c r="I38" s="201" t="e">
        <f t="shared" si="9"/>
        <v>#DIV/0!</v>
      </c>
      <c r="J38" s="2865"/>
      <c r="K38" s="1372"/>
      <c r="L38" s="1890" t="s">
        <v>2937</v>
      </c>
      <c r="M38" s="2869">
        <v>0.25</v>
      </c>
      <c r="N38" s="1372"/>
      <c r="O38" s="1372"/>
      <c r="P38" s="1372"/>
      <c r="Q38" s="1372"/>
      <c r="R38" s="1372"/>
      <c r="S38" s="1372"/>
      <c r="T38" s="1372"/>
      <c r="U38" s="1372"/>
      <c r="V38" s="1372"/>
      <c r="W38" s="1372"/>
      <c r="X38" s="1372"/>
      <c r="Y38" s="1372"/>
      <c r="Z38" s="1373"/>
    </row>
    <row r="39" spans="1:37" ht="13.5" thickBot="1">
      <c r="A39" s="2852"/>
      <c r="B39" s="2870" t="s">
        <v>2938</v>
      </c>
      <c r="C39" s="230" t="e">
        <f>ROUND(C5*C19*C20*C24*F39,0)</f>
        <v>#DIV/0!</v>
      </c>
      <c r="D39" s="2854"/>
      <c r="E39" s="230" t="e">
        <f t="shared" si="7"/>
        <v>#DIV/0!</v>
      </c>
      <c r="F39" s="934">
        <f>SUMIF(修正!A45:A56,G2,修正!H45:H56)</f>
        <v>0</v>
      </c>
      <c r="G39" s="230" t="e">
        <f t="shared" si="6"/>
        <v>#DIV/0!</v>
      </c>
      <c r="H39" s="230">
        <f t="shared" si="8"/>
        <v>0</v>
      </c>
      <c r="I39" s="230" t="e">
        <f t="shared" si="9"/>
        <v>#DIV/0!</v>
      </c>
      <c r="J39" s="2871"/>
      <c r="K39" s="1372"/>
      <c r="L39" s="2872" t="s">
        <v>2879</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2939</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2940</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2941</v>
      </c>
      <c r="B47" s="1812" t="s">
        <v>2942</v>
      </c>
      <c r="C47" s="1812" t="s">
        <v>2943</v>
      </c>
      <c r="D47" s="1812" t="s">
        <v>2944</v>
      </c>
      <c r="E47" s="818" t="s">
        <v>2945</v>
      </c>
      <c r="F47" s="2882" t="s">
        <v>2946</v>
      </c>
      <c r="G47" s="1812" t="s">
        <v>754</v>
      </c>
      <c r="H47" s="2883" t="s">
        <v>2947</v>
      </c>
      <c r="I47" s="1812" t="s">
        <v>2948</v>
      </c>
      <c r="J47" s="604" t="s">
        <v>2594</v>
      </c>
      <c r="K47" s="604" t="s">
        <v>2595</v>
      </c>
      <c r="L47" s="604" t="s">
        <v>2596</v>
      </c>
      <c r="M47" s="604" t="s">
        <v>2597</v>
      </c>
      <c r="N47" s="604" t="s">
        <v>2598</v>
      </c>
      <c r="AA47" s="1373"/>
      <c r="AB47" s="1373"/>
      <c r="AC47" s="1373"/>
      <c r="AD47" s="1373"/>
      <c r="AE47" s="1373"/>
      <c r="AF47" s="1373"/>
      <c r="AG47" s="1373"/>
      <c r="AH47" s="1373"/>
      <c r="AI47" s="1373"/>
      <c r="AJ47" s="1373"/>
      <c r="AK47" s="1373"/>
    </row>
    <row r="48" spans="1:37" s="1372" customFormat="1" ht="38.25">
      <c r="A48" s="2881" t="s">
        <v>2949</v>
      </c>
      <c r="B48" s="2884" t="str">
        <f>估价对象房地状况!C4</f>
        <v>估价对象位于XX商圈，周边商业氛围成熟，人流量大，商业繁华度好</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1" t="s">
        <v>2950</v>
      </c>
      <c r="B49" s="2885" t="str">
        <f>估价对象房地状况!C18</f>
        <v>估价对象周边道路通达、公共交通通达、停车便捷，综合评价交通便捷度好</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2951</v>
      </c>
      <c r="B50" s="2885" t="str">
        <f>估价对象房地状况!C19</f>
        <v>较一致</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1" t="s">
        <v>2952</v>
      </c>
      <c r="B51" s="2886" t="s">
        <v>2953</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2954</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1" t="s">
        <v>2955</v>
      </c>
      <c r="B53" s="2887" t="s">
        <v>2956</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8" t="s">
        <v>2957</v>
      </c>
      <c r="B54" s="1728" t="str">
        <f>估价对象房地状况!C21</f>
        <v>估价对象所在区域公共配套设施齐备</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8" t="s">
        <v>2958</v>
      </c>
      <c r="B55" s="2885" t="str">
        <f>估价对象房地状况!C22</f>
        <v>估价对象所在区域基础设施水平七通</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9" t="s">
        <v>2959</v>
      </c>
      <c r="B56" s="2890" t="str">
        <f>估价对象房地状况!C20</f>
        <v>区域自然环境较好；人文环境较好；综合评价环境状况较好</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7" t="s">
        <v>2960</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2941</v>
      </c>
      <c r="B58" s="1812"/>
      <c r="C58" s="1812" t="s">
        <v>2943</v>
      </c>
      <c r="D58" s="1812" t="s">
        <v>2944</v>
      </c>
      <c r="E58" s="818" t="s">
        <v>2945</v>
      </c>
      <c r="F58" s="2882" t="s">
        <v>2961</v>
      </c>
      <c r="G58" s="1812" t="s">
        <v>754</v>
      </c>
      <c r="H58" s="2883" t="s">
        <v>2947</v>
      </c>
      <c r="I58" s="1812" t="s">
        <v>2948</v>
      </c>
      <c r="J58" s="604" t="s">
        <v>2594</v>
      </c>
      <c r="K58" s="604" t="s">
        <v>2595</v>
      </c>
      <c r="L58" s="604" t="s">
        <v>2596</v>
      </c>
      <c r="M58" s="604" t="s">
        <v>2597</v>
      </c>
      <c r="N58" s="604" t="s">
        <v>2598</v>
      </c>
      <c r="AA58" s="1373"/>
      <c r="AB58" s="1373"/>
      <c r="AC58" s="1373"/>
      <c r="AD58" s="1373"/>
      <c r="AE58" s="1373"/>
      <c r="AF58" s="1373"/>
      <c r="AG58" s="1373"/>
      <c r="AH58" s="1373"/>
      <c r="AI58" s="1373"/>
      <c r="AJ58" s="1373"/>
      <c r="AK58" s="1373"/>
    </row>
    <row r="59" spans="1:37" s="1372" customFormat="1" ht="38.25">
      <c r="A59" s="2881" t="s">
        <v>2962</v>
      </c>
      <c r="B59" s="2884" t="str">
        <f>估价对象房地状况!C17</f>
        <v>估价对象位于XX商圈，周边办公楼项目较多，入驻率高，办公集聚程度较好</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1" t="s">
        <v>2950</v>
      </c>
      <c r="B60" s="2885" t="str">
        <f>估价对象房地状况!C18</f>
        <v>估价对象周边道路通达、公共交通通达、停车便捷，综合评价交通便捷度好</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2951</v>
      </c>
      <c r="B61" s="2885" t="str">
        <f>估价对象房地状况!C19</f>
        <v>较一致</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2952</v>
      </c>
      <c r="B62" s="2886" t="s">
        <v>2953</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2954</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2955</v>
      </c>
      <c r="B64" s="2887" t="s">
        <v>2956</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1" t="s">
        <v>2957</v>
      </c>
      <c r="B65" s="1728" t="str">
        <f>估价对象房地状况!C21</f>
        <v>估价对象所在区域公共配套设施齐备</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1" t="s">
        <v>2958</v>
      </c>
      <c r="B66" s="1728" t="str">
        <f>估价对象房地状况!C22</f>
        <v>估价对象所在区域基础设施水平七通</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9" t="s">
        <v>2959</v>
      </c>
      <c r="B67" s="2891" t="str">
        <f>估价对象房地状况!C20</f>
        <v>区域自然环境较好；人文环境较好；综合评价环境状况较好</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2963</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2941</v>
      </c>
      <c r="B69" s="1812"/>
      <c r="C69" s="1812" t="s">
        <v>2943</v>
      </c>
      <c r="D69" s="1812" t="s">
        <v>2944</v>
      </c>
      <c r="E69" s="818" t="s">
        <v>2945</v>
      </c>
      <c r="F69" s="2882" t="s">
        <v>2961</v>
      </c>
      <c r="G69" s="1812" t="s">
        <v>754</v>
      </c>
      <c r="H69" s="2883" t="s">
        <v>2947</v>
      </c>
      <c r="I69" s="1812" t="s">
        <v>2948</v>
      </c>
      <c r="J69" s="604" t="s">
        <v>2594</v>
      </c>
      <c r="K69" s="604" t="s">
        <v>2595</v>
      </c>
      <c r="L69" s="604" t="s">
        <v>2596</v>
      </c>
      <c r="M69" s="604" t="s">
        <v>2597</v>
      </c>
      <c r="N69" s="604" t="s">
        <v>2598</v>
      </c>
      <c r="AA69" s="1373"/>
      <c r="AB69" s="1373"/>
      <c r="AC69" s="1373"/>
      <c r="AD69" s="1373"/>
      <c r="AE69" s="1373"/>
      <c r="AF69" s="1373"/>
      <c r="AG69" s="1373"/>
      <c r="AH69" s="1373"/>
      <c r="AI69" s="1373"/>
      <c r="AJ69" s="1373"/>
      <c r="AK69" s="1373"/>
    </row>
    <row r="70" spans="1:37" s="1372" customFormat="1" ht="51">
      <c r="A70" s="2881" t="s">
        <v>2964</v>
      </c>
      <c r="B70" s="2884" t="str">
        <f>估价对象房地状况!C15</f>
        <v>估价对象周边居住用地比例大、居住小区规模和社区发展完善，综合评价居住社区成熟度好</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1" t="s">
        <v>2950</v>
      </c>
      <c r="B71" s="2885" t="str">
        <f>估价对象房地状况!C18</f>
        <v>估价对象周边道路通达、公共交通通达、停车便捷，综合评价交通便捷度好</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2951</v>
      </c>
      <c r="B72" s="2885" t="str">
        <f>估价对象房地状况!C19</f>
        <v>较一致</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2965</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1" t="s">
        <v>2957</v>
      </c>
      <c r="B74" s="1728" t="str">
        <f>估价对象房地状况!C21</f>
        <v>估价对象所在区域公共配套设施齐备</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1" t="s">
        <v>2958</v>
      </c>
      <c r="B75" s="1728" t="str">
        <f>估价对象房地状况!C22</f>
        <v>估价对象所在区域基础设施水平七通</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2955</v>
      </c>
      <c r="B76" s="2887" t="s">
        <v>2956</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38.25">
      <c r="A77" s="2881" t="s">
        <v>2959</v>
      </c>
      <c r="B77" s="2884" t="str">
        <f>估价对象房地状况!C20</f>
        <v>区域自然环境较好；人文环境较好；综合评价环境状况较好</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2966</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2967</v>
      </c>
      <c r="B79" s="2878">
        <f>1+E81</f>
        <v>1</v>
      </c>
      <c r="C79" s="813"/>
      <c r="D79" s="813"/>
      <c r="E79" s="814"/>
      <c r="F79" s="2880"/>
      <c r="G79" s="6"/>
      <c r="H79" s="6"/>
      <c r="I79" s="6"/>
      <c r="J79" s="7"/>
      <c r="K79" s="7"/>
      <c r="L79" s="7"/>
      <c r="M79" s="7"/>
      <c r="N79" s="7"/>
      <c r="Z79" s="2723"/>
      <c r="AA79" s="2799"/>
      <c r="AG79" s="1374"/>
      <c r="AK79" s="2799"/>
    </row>
    <row r="80" spans="1:37" ht="24.75">
      <c r="A80" s="2881" t="s">
        <v>2941</v>
      </c>
      <c r="B80" s="1812"/>
      <c r="C80" s="1812" t="s">
        <v>2943</v>
      </c>
      <c r="D80" s="1812" t="s">
        <v>2944</v>
      </c>
      <c r="E80" s="818" t="s">
        <v>2945</v>
      </c>
      <c r="F80" s="2882" t="s">
        <v>2961</v>
      </c>
      <c r="G80" s="1812" t="s">
        <v>754</v>
      </c>
      <c r="H80" s="2883" t="s">
        <v>2947</v>
      </c>
      <c r="I80" s="1812" t="s">
        <v>2948</v>
      </c>
      <c r="J80" s="604" t="s">
        <v>2594</v>
      </c>
      <c r="K80" s="604" t="s">
        <v>2595</v>
      </c>
      <c r="L80" s="604" t="s">
        <v>2596</v>
      </c>
      <c r="M80" s="604" t="s">
        <v>2597</v>
      </c>
      <c r="N80" s="604" t="s">
        <v>2598</v>
      </c>
      <c r="Z80" s="2723"/>
      <c r="AA80" s="2799"/>
      <c r="AG80" s="1374"/>
      <c r="AK80" s="2799"/>
    </row>
    <row r="81" spans="1:37" ht="38.25">
      <c r="A81" s="2881" t="s">
        <v>2968</v>
      </c>
      <c r="B81" s="2885" t="str">
        <f>估价对象房地状况!G15</f>
        <v>估价对象位于XX开发区，园区建设成熟度XX，产业集聚程度XX</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51">
      <c r="A82" s="2881" t="s">
        <v>2950</v>
      </c>
      <c r="B82" s="2885" t="str">
        <f>估价对象房地状况!G16</f>
        <v>估价对象周边道路状况、公共交通通达情况、停车便捷程度，综合评价交通便捷度较好</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2951</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2965</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5.5">
      <c r="A85" s="2881" t="s">
        <v>2957</v>
      </c>
      <c r="B85" s="1728" t="str">
        <f>估价对象房地状况!G19</f>
        <v>估价对象所在区域公共配套设施齐备情况</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5.5">
      <c r="A86" s="2881" t="s">
        <v>2958</v>
      </c>
      <c r="B86" s="1728" t="str">
        <f>估价对象房地状况!G20</f>
        <v>估价对象所在区域基础设施水平</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24">
      <c r="A87" s="2881" t="s">
        <v>2955</v>
      </c>
      <c r="B87" s="2887" t="s">
        <v>2969</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39" thickBot="1">
      <c r="A88" s="2889" t="s">
        <v>2970</v>
      </c>
      <c r="B88" s="2894" t="str">
        <f>估价对象房地状况!G18</f>
        <v>该园区内是否有污染型企业，绿化情况，卫生条件，整体环境状况判断</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54" t="s">
        <v>2971</v>
      </c>
      <c r="B90" s="3254"/>
      <c r="C90" s="3254"/>
      <c r="D90" s="3254"/>
      <c r="E90" s="3254"/>
      <c r="F90" s="3254"/>
      <c r="G90" s="3254"/>
      <c r="H90" s="3254"/>
      <c r="I90" s="3254"/>
      <c r="J90" s="3254"/>
      <c r="K90" s="2895"/>
      <c r="L90" s="2895"/>
      <c r="M90" s="2895"/>
      <c r="N90" s="2895"/>
    </row>
    <row r="91" spans="1:37">
      <c r="A91" s="3256" t="s">
        <v>2972</v>
      </c>
      <c r="B91" s="3256" t="s">
        <v>2973</v>
      </c>
      <c r="C91" s="2849" t="s">
        <v>2974</v>
      </c>
      <c r="D91" s="2850"/>
      <c r="E91" s="2850"/>
      <c r="F91" s="2850"/>
      <c r="G91" s="2850"/>
      <c r="H91" s="2850"/>
      <c r="I91" s="2850"/>
      <c r="J91" s="2896"/>
      <c r="K91" s="2897"/>
      <c r="L91" s="2897"/>
      <c r="M91" s="2897"/>
      <c r="N91" s="2897"/>
    </row>
    <row r="92" spans="1:37">
      <c r="A92" s="3256"/>
      <c r="B92" s="3256"/>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257" t="s">
        <v>2975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58"/>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58"/>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58"/>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58"/>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58"/>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58"/>
      <c r="B99" s="2898" t="s">
        <v>2854</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59"/>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57" t="s">
        <v>2976</v>
      </c>
      <c r="B101" s="2902" t="s">
        <v>2977</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58"/>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58"/>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58"/>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58"/>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58"/>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58"/>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58"/>
      <c r="B108" s="3080" t="s">
        <v>2978</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59"/>
      <c r="B109" s="3081"/>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55" t="s">
        <v>2979</v>
      </c>
      <c r="B110" s="3255"/>
      <c r="C110" s="3255"/>
      <c r="D110" s="3255"/>
      <c r="E110" s="3255"/>
      <c r="F110" s="3255"/>
      <c r="G110" s="3255"/>
      <c r="H110" s="3255"/>
      <c r="I110" s="3255"/>
      <c r="J110" s="3255"/>
      <c r="K110" s="2904"/>
      <c r="L110" s="2904"/>
      <c r="M110" s="2904"/>
      <c r="N110" s="2904"/>
    </row>
    <row r="112" spans="1:14" ht="13.5" thickBot="1"/>
    <row r="113" spans="1:13" ht="25.5" thickBot="1">
      <c r="A113" s="902" t="s">
        <v>2980</v>
      </c>
      <c r="B113" s="1289" t="e">
        <f>G3</f>
        <v>#DIV/0!</v>
      </c>
      <c r="C113" s="903" t="s">
        <v>2981</v>
      </c>
      <c r="D113" s="904" t="e">
        <f>SUMPRODUCT((A115:A118=F113)*(B114:M114=H113)*B115:M118)</f>
        <v>#DIV/0!</v>
      </c>
      <c r="E113" s="2727" t="s">
        <v>2811</v>
      </c>
      <c r="F113" s="2906">
        <f>E2</f>
        <v>0</v>
      </c>
      <c r="G113" s="2727" t="s">
        <v>2812</v>
      </c>
      <c r="H113" s="2906">
        <f>G2</f>
        <v>0</v>
      </c>
      <c r="I113" s="2727"/>
      <c r="J113" s="2907"/>
      <c r="K113" s="2907"/>
      <c r="L113" s="2907"/>
      <c r="M113" s="2907"/>
    </row>
    <row r="114" spans="1:13">
      <c r="A114" s="907"/>
      <c r="B114" s="2908" t="s">
        <v>2982</v>
      </c>
      <c r="C114" s="2908" t="s">
        <v>2983</v>
      </c>
      <c r="D114" s="2908" t="s">
        <v>2984</v>
      </c>
      <c r="E114" s="2909" t="s">
        <v>2985</v>
      </c>
      <c r="F114" s="2909" t="s">
        <v>2986</v>
      </c>
      <c r="G114" s="2909" t="s">
        <v>2987</v>
      </c>
      <c r="H114" s="2910" t="s">
        <v>2988</v>
      </c>
      <c r="I114" s="2910" t="s">
        <v>2989</v>
      </c>
      <c r="J114" s="2911" t="s">
        <v>2990</v>
      </c>
      <c r="K114" s="2911" t="s">
        <v>2991</v>
      </c>
      <c r="L114" s="2911" t="s">
        <v>2992</v>
      </c>
      <c r="M114" s="2912" t="s">
        <v>2993</v>
      </c>
    </row>
    <row r="115" spans="1:13">
      <c r="A115" s="908" t="s">
        <v>2876</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2877</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2878</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5" t="s">
        <v>2879</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2" t="s">
        <v>183</v>
      </c>
      <c r="B18" s="881" t="s">
        <v>560</v>
      </c>
      <c r="C18" s="882" t="s">
        <v>561</v>
      </c>
      <c r="D18" s="883"/>
      <c r="E18" s="881">
        <v>1</v>
      </c>
      <c r="F18" s="884" t="s">
        <v>562</v>
      </c>
      <c r="G18" s="885"/>
      <c r="H18" s="877"/>
      <c r="I18" s="877"/>
    </row>
    <row r="19" spans="1:9" s="886" customFormat="1" ht="19.5" customHeight="1">
      <c r="A19" s="3272"/>
      <c r="B19" s="3272" t="s">
        <v>563</v>
      </c>
      <c r="C19" s="882" t="s">
        <v>564</v>
      </c>
      <c r="D19" s="883"/>
      <c r="E19" s="881">
        <v>0.9</v>
      </c>
      <c r="F19" s="884" t="s">
        <v>565</v>
      </c>
      <c r="G19" s="885"/>
      <c r="H19" s="877"/>
      <c r="I19" s="877"/>
    </row>
    <row r="20" spans="1:9" s="886" customFormat="1" ht="19.5" customHeight="1">
      <c r="A20" s="3272"/>
      <c r="B20" s="3272"/>
      <c r="C20" s="882" t="s">
        <v>566</v>
      </c>
      <c r="D20" s="883"/>
      <c r="E20" s="881">
        <v>1.1000000000000001</v>
      </c>
      <c r="F20" s="884" t="s">
        <v>567</v>
      </c>
      <c r="G20" s="885"/>
      <c r="H20" s="877"/>
      <c r="I20" s="877"/>
    </row>
    <row r="21" spans="1:9" s="886" customFormat="1" ht="19.5" customHeight="1">
      <c r="A21" s="3272"/>
      <c r="B21" s="3272"/>
      <c r="C21" s="882" t="s">
        <v>568</v>
      </c>
      <c r="D21" s="883"/>
      <c r="E21" s="881">
        <v>0.8</v>
      </c>
      <c r="F21" s="884" t="s">
        <v>569</v>
      </c>
      <c r="G21" s="885"/>
      <c r="H21" s="877"/>
      <c r="I21" s="877"/>
    </row>
    <row r="22" spans="1:9" s="886" customFormat="1" ht="19.5" customHeight="1">
      <c r="A22" s="3272"/>
      <c r="B22" s="3272"/>
      <c r="C22" s="882" t="s">
        <v>570</v>
      </c>
      <c r="D22" s="883"/>
      <c r="E22" s="881">
        <v>0.5</v>
      </c>
      <c r="F22" s="884"/>
      <c r="G22" s="885"/>
      <c r="H22" s="877"/>
      <c r="I22" s="877"/>
    </row>
    <row r="23" spans="1:9" s="886" customFormat="1" ht="19.5" customHeight="1">
      <c r="A23" s="3272" t="s">
        <v>184</v>
      </c>
      <c r="B23" s="881" t="s">
        <v>560</v>
      </c>
      <c r="C23" s="882" t="s">
        <v>571</v>
      </c>
      <c r="D23" s="883"/>
      <c r="E23" s="881">
        <v>1</v>
      </c>
      <c r="F23" s="884" t="s">
        <v>572</v>
      </c>
      <c r="G23" s="885"/>
      <c r="H23" s="877"/>
      <c r="I23" s="877"/>
    </row>
    <row r="24" spans="1:9" s="886" customFormat="1" ht="19.5" customHeight="1">
      <c r="A24" s="3272"/>
      <c r="B24" s="3272" t="s">
        <v>563</v>
      </c>
      <c r="C24" s="882" t="s">
        <v>573</v>
      </c>
      <c r="D24" s="883"/>
      <c r="E24" s="881">
        <v>0.5</v>
      </c>
      <c r="F24" s="884"/>
      <c r="G24" s="885"/>
      <c r="H24" s="877"/>
      <c r="I24" s="877"/>
    </row>
    <row r="25" spans="1:9" s="886" customFormat="1" ht="19.5" customHeight="1">
      <c r="A25" s="3272"/>
      <c r="B25" s="3272"/>
      <c r="C25" s="882" t="s">
        <v>574</v>
      </c>
      <c r="D25" s="883"/>
      <c r="E25" s="881">
        <v>1.1000000000000001</v>
      </c>
      <c r="F25" s="884"/>
      <c r="G25" s="885"/>
      <c r="H25" s="877"/>
      <c r="I25" s="877"/>
    </row>
    <row r="26" spans="1:9" s="886" customFormat="1" ht="19.5" customHeight="1">
      <c r="A26" s="3272"/>
      <c r="B26" s="3272"/>
      <c r="C26" s="882" t="s">
        <v>575</v>
      </c>
      <c r="D26" s="883"/>
      <c r="E26" s="881">
        <v>1.1000000000000001</v>
      </c>
      <c r="F26" s="884"/>
      <c r="G26" s="885"/>
      <c r="H26" s="877"/>
      <c r="I26" s="877"/>
    </row>
    <row r="27" spans="1:9" s="886" customFormat="1" ht="19.5" customHeight="1">
      <c r="A27" s="3272"/>
      <c r="B27" s="3272"/>
      <c r="C27" s="882" t="s">
        <v>576</v>
      </c>
      <c r="D27" s="883"/>
      <c r="E27" s="881">
        <v>0.9</v>
      </c>
      <c r="F27" s="884" t="s">
        <v>577</v>
      </c>
      <c r="G27" s="885"/>
      <c r="H27" s="877"/>
      <c r="I27" s="877"/>
    </row>
    <row r="28" spans="1:9" s="886" customFormat="1" ht="19.5" customHeight="1">
      <c r="A28" s="3272"/>
      <c r="B28" s="3272"/>
      <c r="C28" s="882" t="s">
        <v>578</v>
      </c>
      <c r="D28" s="883"/>
      <c r="E28" s="881">
        <v>0.9</v>
      </c>
      <c r="F28" s="884" t="s">
        <v>579</v>
      </c>
      <c r="G28" s="885"/>
      <c r="H28" s="877"/>
      <c r="I28" s="877"/>
    </row>
    <row r="29" spans="1:9" s="886" customFormat="1" ht="19.5" customHeight="1">
      <c r="A29" s="3272"/>
      <c r="B29" s="3272"/>
      <c r="C29" s="882" t="s">
        <v>580</v>
      </c>
      <c r="D29" s="883"/>
      <c r="E29" s="881">
        <v>0.9</v>
      </c>
      <c r="F29" s="884" t="s">
        <v>581</v>
      </c>
      <c r="G29" s="885"/>
      <c r="H29" s="877"/>
      <c r="I29" s="877"/>
    </row>
    <row r="30" spans="1:9" s="886" customFormat="1" ht="19.5" customHeight="1">
      <c r="A30" s="3272"/>
      <c r="B30" s="3272"/>
      <c r="C30" s="882" t="s">
        <v>582</v>
      </c>
      <c r="D30" s="883"/>
      <c r="E30" s="881">
        <v>0.9</v>
      </c>
      <c r="F30" s="884" t="s">
        <v>583</v>
      </c>
      <c r="G30" s="885"/>
      <c r="H30" s="877"/>
      <c r="I30" s="877"/>
    </row>
    <row r="31" spans="1:9" s="886" customFormat="1" ht="19.5" customHeight="1">
      <c r="A31" s="3272"/>
      <c r="B31" s="3272"/>
      <c r="C31" s="882" t="s">
        <v>584</v>
      </c>
      <c r="D31" s="883"/>
      <c r="E31" s="881">
        <v>0.8</v>
      </c>
      <c r="F31" s="884" t="s">
        <v>585</v>
      </c>
      <c r="G31" s="885"/>
      <c r="H31" s="877"/>
      <c r="I31" s="877"/>
    </row>
    <row r="32" spans="1:9" s="886" customFormat="1" ht="19.5" customHeight="1">
      <c r="A32" s="3272"/>
      <c r="B32" s="3272"/>
      <c r="C32" s="882" t="s">
        <v>586</v>
      </c>
      <c r="D32" s="883"/>
      <c r="E32" s="881">
        <v>0.8</v>
      </c>
      <c r="F32" s="884" t="s">
        <v>587</v>
      </c>
      <c r="G32" s="885"/>
      <c r="H32" s="877"/>
      <c r="I32" s="877"/>
    </row>
    <row r="33" spans="1:9" s="886" customFormat="1" ht="19.5" customHeight="1">
      <c r="A33" s="3272" t="s">
        <v>185</v>
      </c>
      <c r="B33" s="881" t="s">
        <v>560</v>
      </c>
      <c r="C33" s="882" t="s">
        <v>588</v>
      </c>
      <c r="D33" s="883"/>
      <c r="E33" s="881">
        <v>1</v>
      </c>
      <c r="F33" s="884" t="s">
        <v>589</v>
      </c>
      <c r="G33" s="885"/>
      <c r="H33" s="877"/>
      <c r="I33" s="877"/>
    </row>
    <row r="34" spans="1:9" s="886" customFormat="1" ht="19.5" customHeight="1">
      <c r="A34" s="3272"/>
      <c r="B34" s="881" t="s">
        <v>563</v>
      </c>
      <c r="C34" s="882" t="s">
        <v>590</v>
      </c>
      <c r="D34" s="883"/>
      <c r="E34" s="881">
        <v>1.5</v>
      </c>
      <c r="F34" s="884" t="s">
        <v>591</v>
      </c>
      <c r="G34" s="885"/>
      <c r="H34" s="877"/>
      <c r="I34" s="877"/>
    </row>
    <row r="35" spans="1:9" s="886" customFormat="1" ht="19.5" customHeight="1">
      <c r="A35" s="3272" t="s">
        <v>186</v>
      </c>
      <c r="B35" s="881" t="s">
        <v>560</v>
      </c>
      <c r="C35" s="882" t="s">
        <v>592</v>
      </c>
      <c r="D35" s="883"/>
      <c r="E35" s="881">
        <v>1</v>
      </c>
      <c r="F35" s="884" t="s">
        <v>593</v>
      </c>
      <c r="G35" s="885"/>
      <c r="H35" s="877"/>
      <c r="I35" s="877"/>
    </row>
    <row r="36" spans="1:9" s="886" customFormat="1" ht="19.5" customHeight="1">
      <c r="A36" s="3272"/>
      <c r="B36" s="3272" t="s">
        <v>563</v>
      </c>
      <c r="C36" s="882" t="s">
        <v>594</v>
      </c>
      <c r="D36" s="883"/>
      <c r="E36" s="881">
        <v>1</v>
      </c>
      <c r="F36" s="884" t="s">
        <v>595</v>
      </c>
      <c r="G36" s="885"/>
      <c r="H36" s="877"/>
      <c r="I36" s="877"/>
    </row>
    <row r="37" spans="1:9" s="886" customFormat="1" ht="19.5" customHeight="1">
      <c r="A37" s="3272"/>
      <c r="B37" s="3272"/>
      <c r="C37" s="882" t="s">
        <v>596</v>
      </c>
      <c r="D37" s="883"/>
      <c r="E37" s="881">
        <v>1.5</v>
      </c>
      <c r="F37" s="884" t="s">
        <v>597</v>
      </c>
      <c r="G37" s="885"/>
      <c r="H37" s="877"/>
      <c r="I37" s="877"/>
    </row>
    <row r="38" spans="1:9" s="886" customFormat="1" ht="19.5" customHeight="1">
      <c r="A38" s="3272"/>
      <c r="B38" s="3272"/>
      <c r="C38" s="882" t="s">
        <v>598</v>
      </c>
      <c r="D38" s="883"/>
      <c r="E38" s="881">
        <v>1</v>
      </c>
      <c r="F38" s="884" t="s">
        <v>599</v>
      </c>
      <c r="G38" s="885"/>
      <c r="H38" s="877"/>
      <c r="I38" s="877"/>
    </row>
    <row r="39" spans="1:9" s="886" customFormat="1" ht="19.5" customHeight="1">
      <c r="A39" s="3272"/>
      <c r="B39" s="327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2" t="s">
        <v>614</v>
      </c>
      <c r="C61" s="817" t="s">
        <v>615</v>
      </c>
      <c r="D61" s="817" t="s">
        <v>616</v>
      </c>
      <c r="E61" s="894">
        <v>0.5</v>
      </c>
      <c r="F61" s="881">
        <v>80</v>
      </c>
    </row>
    <row r="62" spans="1:8" s="877" customFormat="1" ht="24">
      <c r="A62" s="881">
        <v>2</v>
      </c>
      <c r="B62" s="3272"/>
      <c r="C62" s="817" t="s">
        <v>617</v>
      </c>
      <c r="D62" s="817" t="s">
        <v>618</v>
      </c>
      <c r="E62" s="894">
        <v>0.5</v>
      </c>
      <c r="F62" s="881">
        <v>80</v>
      </c>
    </row>
    <row r="63" spans="1:8" s="877" customFormat="1" ht="36">
      <c r="A63" s="881">
        <v>3</v>
      </c>
      <c r="B63" s="3272"/>
      <c r="C63" s="817" t="s">
        <v>619</v>
      </c>
      <c r="D63" s="817" t="s">
        <v>620</v>
      </c>
      <c r="E63" s="894">
        <v>0.5</v>
      </c>
      <c r="F63" s="881">
        <v>80</v>
      </c>
    </row>
    <row r="64" spans="1:8" s="877" customFormat="1" ht="36">
      <c r="A64" s="881">
        <v>4</v>
      </c>
      <c r="B64" s="3272"/>
      <c r="C64" s="817" t="s">
        <v>621</v>
      </c>
      <c r="D64" s="817" t="s">
        <v>622</v>
      </c>
      <c r="E64" s="894">
        <v>0.4</v>
      </c>
      <c r="F64" s="881">
        <v>60</v>
      </c>
    </row>
    <row r="65" spans="1:6" s="877" customFormat="1" ht="36">
      <c r="A65" s="881">
        <v>5</v>
      </c>
      <c r="B65" s="3272"/>
      <c r="C65" s="817" t="s">
        <v>623</v>
      </c>
      <c r="D65" s="817" t="s">
        <v>624</v>
      </c>
      <c r="E65" s="894">
        <v>0.2</v>
      </c>
      <c r="F65" s="881">
        <v>30</v>
      </c>
    </row>
    <row r="66" spans="1:6" s="877" customFormat="1" ht="36">
      <c r="A66" s="881">
        <v>6</v>
      </c>
      <c r="B66" s="3272"/>
      <c r="C66" s="817" t="s">
        <v>625</v>
      </c>
      <c r="D66" s="817" t="s">
        <v>626</v>
      </c>
      <c r="E66" s="894">
        <v>0.3</v>
      </c>
      <c r="F66" s="881">
        <v>50</v>
      </c>
    </row>
    <row r="67" spans="1:6" s="877" customFormat="1" ht="36">
      <c r="A67" s="881">
        <v>7</v>
      </c>
      <c r="B67" s="3272"/>
      <c r="C67" s="817" t="s">
        <v>627</v>
      </c>
      <c r="D67" s="817" t="s">
        <v>628</v>
      </c>
      <c r="E67" s="894">
        <v>0.2</v>
      </c>
      <c r="F67" s="881">
        <v>30</v>
      </c>
    </row>
    <row r="68" spans="1:6" s="877" customFormat="1" ht="36">
      <c r="A68" s="881">
        <v>8</v>
      </c>
      <c r="B68" s="3272"/>
      <c r="C68" s="817" t="s">
        <v>629</v>
      </c>
      <c r="D68" s="817" t="s">
        <v>630</v>
      </c>
      <c r="E68" s="894">
        <v>0.2</v>
      </c>
      <c r="F68" s="881">
        <v>30</v>
      </c>
    </row>
    <row r="69" spans="1:6" s="877" customFormat="1" ht="36">
      <c r="A69" s="881">
        <v>9</v>
      </c>
      <c r="B69" s="3272"/>
      <c r="C69" s="817" t="s">
        <v>631</v>
      </c>
      <c r="D69" s="817" t="s">
        <v>632</v>
      </c>
      <c r="E69" s="894">
        <v>0.2</v>
      </c>
      <c r="F69" s="881">
        <v>30</v>
      </c>
    </row>
    <row r="70" spans="1:6" s="877" customFormat="1" ht="48">
      <c r="A70" s="881">
        <v>10</v>
      </c>
      <c r="B70" s="3272"/>
      <c r="C70" s="817" t="s">
        <v>633</v>
      </c>
      <c r="D70" s="817" t="s">
        <v>634</v>
      </c>
      <c r="E70" s="894">
        <v>0.2</v>
      </c>
      <c r="F70" s="881">
        <v>30</v>
      </c>
    </row>
    <row r="71" spans="1:6" s="877" customFormat="1" ht="48">
      <c r="A71" s="881">
        <v>11</v>
      </c>
      <c r="B71" s="3272"/>
      <c r="C71" s="817" t="s">
        <v>635</v>
      </c>
      <c r="D71" s="817" t="s">
        <v>636</v>
      </c>
      <c r="E71" s="894">
        <v>0.2</v>
      </c>
      <c r="F71" s="881">
        <v>30</v>
      </c>
    </row>
    <row r="72" spans="1:6" s="877" customFormat="1" ht="36">
      <c r="A72" s="881">
        <v>12</v>
      </c>
      <c r="B72" s="3272"/>
      <c r="C72" s="817" t="s">
        <v>637</v>
      </c>
      <c r="D72" s="817" t="s">
        <v>638</v>
      </c>
      <c r="E72" s="894">
        <v>0.5</v>
      </c>
      <c r="F72" s="881">
        <v>80</v>
      </c>
    </row>
    <row r="73" spans="1:6" s="877" customFormat="1" ht="24">
      <c r="A73" s="881">
        <v>13</v>
      </c>
      <c r="B73" s="3272"/>
      <c r="C73" s="817" t="s">
        <v>639</v>
      </c>
      <c r="D73" s="817" t="s">
        <v>640</v>
      </c>
      <c r="E73" s="894">
        <v>0.4</v>
      </c>
      <c r="F73" s="881">
        <v>60</v>
      </c>
    </row>
    <row r="74" spans="1:6" s="877" customFormat="1" ht="24">
      <c r="A74" s="881">
        <v>14</v>
      </c>
      <c r="B74" s="3272"/>
      <c r="C74" s="817" t="s">
        <v>641</v>
      </c>
      <c r="D74" s="817" t="s">
        <v>642</v>
      </c>
      <c r="E74" s="894">
        <v>0.2</v>
      </c>
      <c r="F74" s="881">
        <v>30</v>
      </c>
    </row>
    <row r="75" spans="1:6" s="877" customFormat="1" ht="24">
      <c r="A75" s="881">
        <v>15</v>
      </c>
      <c r="B75" s="3272"/>
      <c r="C75" s="817" t="s">
        <v>643</v>
      </c>
      <c r="D75" s="817" t="s">
        <v>644</v>
      </c>
      <c r="E75" s="894">
        <v>0.2</v>
      </c>
      <c r="F75" s="881">
        <v>30</v>
      </c>
    </row>
    <row r="76" spans="1:6" s="877" customFormat="1" ht="24">
      <c r="A76" s="881">
        <v>16</v>
      </c>
      <c r="B76" s="3272" t="s">
        <v>645</v>
      </c>
      <c r="C76" s="817" t="s">
        <v>646</v>
      </c>
      <c r="D76" s="817" t="s">
        <v>647</v>
      </c>
      <c r="E76" s="894">
        <v>0.5</v>
      </c>
      <c r="F76" s="881">
        <v>80</v>
      </c>
    </row>
    <row r="77" spans="1:6" s="877" customFormat="1" ht="24">
      <c r="A77" s="881">
        <v>17</v>
      </c>
      <c r="B77" s="3272"/>
      <c r="C77" s="817" t="s">
        <v>648</v>
      </c>
      <c r="D77" s="817" t="s">
        <v>649</v>
      </c>
      <c r="E77" s="894">
        <v>0.5</v>
      </c>
      <c r="F77" s="881">
        <v>80</v>
      </c>
    </row>
    <row r="78" spans="1:6" s="877" customFormat="1" ht="24">
      <c r="A78" s="881">
        <v>18</v>
      </c>
      <c r="B78" s="3272"/>
      <c r="C78" s="817" t="s">
        <v>650</v>
      </c>
      <c r="D78" s="817" t="s">
        <v>651</v>
      </c>
      <c r="E78" s="894">
        <v>0.2</v>
      </c>
      <c r="F78" s="881">
        <v>30</v>
      </c>
    </row>
    <row r="79" spans="1:6" s="877" customFormat="1" ht="24">
      <c r="A79" s="881">
        <v>19</v>
      </c>
      <c r="B79" s="3272"/>
      <c r="C79" s="817" t="s">
        <v>652</v>
      </c>
      <c r="D79" s="817" t="s">
        <v>653</v>
      </c>
      <c r="E79" s="894">
        <v>0.5</v>
      </c>
      <c r="F79" s="881">
        <v>80</v>
      </c>
    </row>
    <row r="80" spans="1:6" s="877" customFormat="1" ht="36">
      <c r="A80" s="881">
        <v>20</v>
      </c>
      <c r="B80" s="3272"/>
      <c r="C80" s="817" t="s">
        <v>654</v>
      </c>
      <c r="D80" s="817" t="s">
        <v>655</v>
      </c>
      <c r="E80" s="894">
        <v>0.2</v>
      </c>
      <c r="F80" s="881">
        <v>30</v>
      </c>
    </row>
    <row r="81" spans="1:6" s="877" customFormat="1" ht="36">
      <c r="A81" s="881">
        <v>21</v>
      </c>
      <c r="B81" s="3272"/>
      <c r="C81" s="817" t="s">
        <v>656</v>
      </c>
      <c r="D81" s="817" t="s">
        <v>657</v>
      </c>
      <c r="E81" s="894">
        <v>0.2</v>
      </c>
      <c r="F81" s="881">
        <v>30</v>
      </c>
    </row>
    <row r="82" spans="1:6" s="877" customFormat="1" ht="48">
      <c r="A82" s="881">
        <v>22</v>
      </c>
      <c r="B82" s="3272"/>
      <c r="C82" s="817" t="s">
        <v>658</v>
      </c>
      <c r="D82" s="817" t="s">
        <v>659</v>
      </c>
      <c r="E82" s="894">
        <v>0.2</v>
      </c>
      <c r="F82" s="881">
        <v>30</v>
      </c>
    </row>
    <row r="83" spans="1:6" s="877" customFormat="1" ht="48">
      <c r="A83" s="881">
        <v>23</v>
      </c>
      <c r="B83" s="3272"/>
      <c r="C83" s="817" t="s">
        <v>660</v>
      </c>
      <c r="D83" s="817" t="s">
        <v>661</v>
      </c>
      <c r="E83" s="894">
        <v>0.2</v>
      </c>
      <c r="F83" s="881">
        <v>30</v>
      </c>
    </row>
    <row r="84" spans="1:6" s="877" customFormat="1" ht="36">
      <c r="A84" s="881">
        <v>24</v>
      </c>
      <c r="B84" s="3272"/>
      <c r="C84" s="817" t="s">
        <v>662</v>
      </c>
      <c r="D84" s="817" t="s">
        <v>663</v>
      </c>
      <c r="E84" s="894">
        <v>0.2</v>
      </c>
      <c r="F84" s="881">
        <v>30</v>
      </c>
    </row>
    <row r="85" spans="1:6" s="877" customFormat="1" ht="36">
      <c r="A85" s="881">
        <v>25</v>
      </c>
      <c r="B85" s="3272"/>
      <c r="C85" s="817" t="s">
        <v>664</v>
      </c>
      <c r="D85" s="817" t="s">
        <v>665</v>
      </c>
      <c r="E85" s="894">
        <v>0.5</v>
      </c>
      <c r="F85" s="881">
        <v>80</v>
      </c>
    </row>
    <row r="86" spans="1:6" s="877" customFormat="1" ht="36">
      <c r="A86" s="881">
        <v>26</v>
      </c>
      <c r="B86" s="3272"/>
      <c r="C86" s="817" t="s">
        <v>666</v>
      </c>
      <c r="D86" s="817" t="s">
        <v>667</v>
      </c>
      <c r="E86" s="894">
        <v>0.2</v>
      </c>
      <c r="F86" s="881">
        <v>30</v>
      </c>
    </row>
    <row r="87" spans="1:6" s="877" customFormat="1" ht="36">
      <c r="A87" s="881">
        <v>27</v>
      </c>
      <c r="B87" s="3272"/>
      <c r="C87" s="817" t="s">
        <v>668</v>
      </c>
      <c r="D87" s="817" t="s">
        <v>669</v>
      </c>
      <c r="E87" s="894">
        <v>0.2</v>
      </c>
      <c r="F87" s="881">
        <v>30</v>
      </c>
    </row>
    <row r="88" spans="1:6" s="877" customFormat="1" ht="36">
      <c r="A88" s="881">
        <v>28</v>
      </c>
      <c r="B88" s="3272"/>
      <c r="C88" s="817" t="s">
        <v>670</v>
      </c>
      <c r="D88" s="817" t="s">
        <v>671</v>
      </c>
      <c r="E88" s="894">
        <v>0.2</v>
      </c>
      <c r="F88" s="881">
        <v>30</v>
      </c>
    </row>
    <row r="89" spans="1:6" s="877" customFormat="1" ht="24">
      <c r="A89" s="881">
        <v>29</v>
      </c>
      <c r="B89" s="3272"/>
      <c r="C89" s="817" t="s">
        <v>672</v>
      </c>
      <c r="D89" s="817" t="s">
        <v>673</v>
      </c>
      <c r="E89" s="894">
        <v>0.2</v>
      </c>
      <c r="F89" s="881">
        <v>30</v>
      </c>
    </row>
    <row r="90" spans="1:6" s="877" customFormat="1" ht="24">
      <c r="A90" s="881">
        <v>30</v>
      </c>
      <c r="B90" s="3272"/>
      <c r="C90" s="817" t="s">
        <v>674</v>
      </c>
      <c r="D90" s="817" t="s">
        <v>675</v>
      </c>
      <c r="E90" s="894">
        <v>0.2</v>
      </c>
      <c r="F90" s="881">
        <v>30</v>
      </c>
    </row>
    <row r="91" spans="1:6" s="877" customFormat="1" ht="36">
      <c r="A91" s="881">
        <v>31</v>
      </c>
      <c r="B91" s="3272"/>
      <c r="C91" s="817" t="s">
        <v>676</v>
      </c>
      <c r="D91" s="817" t="s">
        <v>677</v>
      </c>
      <c r="E91" s="894">
        <v>0.2</v>
      </c>
      <c r="F91" s="881">
        <v>30</v>
      </c>
    </row>
    <row r="92" spans="1:6" s="877" customFormat="1" ht="24">
      <c r="A92" s="881">
        <v>32</v>
      </c>
      <c r="B92" s="3272" t="s">
        <v>678</v>
      </c>
      <c r="C92" s="881" t="s">
        <v>679</v>
      </c>
      <c r="D92" s="817" t="s">
        <v>680</v>
      </c>
      <c r="E92" s="894">
        <v>0.2</v>
      </c>
      <c r="F92" s="881">
        <v>30</v>
      </c>
    </row>
    <row r="93" spans="1:6" s="877" customFormat="1" ht="36">
      <c r="A93" s="881">
        <v>33</v>
      </c>
      <c r="B93" s="3272"/>
      <c r="C93" s="881" t="s">
        <v>681</v>
      </c>
      <c r="D93" s="817" t="s">
        <v>682</v>
      </c>
      <c r="E93" s="894">
        <v>0.2</v>
      </c>
      <c r="F93" s="881">
        <v>30</v>
      </c>
    </row>
    <row r="94" spans="1:6" s="877" customFormat="1" ht="48">
      <c r="A94" s="881">
        <v>34</v>
      </c>
      <c r="B94" s="3272"/>
      <c r="C94" s="881" t="s">
        <v>683</v>
      </c>
      <c r="D94" s="817" t="s">
        <v>684</v>
      </c>
      <c r="E94" s="894">
        <v>0.2</v>
      </c>
      <c r="F94" s="881">
        <v>30</v>
      </c>
    </row>
    <row r="95" spans="1:6" s="877" customFormat="1" ht="36">
      <c r="A95" s="881">
        <v>35</v>
      </c>
      <c r="B95" s="3272"/>
      <c r="C95" s="881" t="s">
        <v>685</v>
      </c>
      <c r="D95" s="817" t="s">
        <v>686</v>
      </c>
      <c r="E95" s="894">
        <v>0.2</v>
      </c>
      <c r="F95" s="881">
        <v>30</v>
      </c>
    </row>
    <row r="96" spans="1:6" s="877" customFormat="1" ht="48">
      <c r="A96" s="881">
        <v>36</v>
      </c>
      <c r="B96" s="3272"/>
      <c r="C96" s="817" t="s">
        <v>687</v>
      </c>
      <c r="D96" s="817" t="s">
        <v>688</v>
      </c>
      <c r="E96" s="894">
        <v>0.2</v>
      </c>
      <c r="F96" s="881">
        <v>30</v>
      </c>
    </row>
    <row r="97" spans="1:6" s="877" customFormat="1" ht="36">
      <c r="A97" s="881">
        <v>37</v>
      </c>
      <c r="B97" s="3272"/>
      <c r="C97" s="881" t="s">
        <v>689</v>
      </c>
      <c r="D97" s="817" t="s">
        <v>690</v>
      </c>
      <c r="E97" s="894">
        <v>0.2</v>
      </c>
      <c r="F97" s="881">
        <v>30</v>
      </c>
    </row>
    <row r="98" spans="1:6" s="877" customFormat="1" ht="36">
      <c r="A98" s="881">
        <v>38</v>
      </c>
      <c r="B98" s="3272"/>
      <c r="C98" s="881" t="s">
        <v>691</v>
      </c>
      <c r="D98" s="817" t="s">
        <v>692</v>
      </c>
      <c r="E98" s="894">
        <v>0.2</v>
      </c>
      <c r="F98" s="881">
        <v>30</v>
      </c>
    </row>
    <row r="99" spans="1:6" s="877" customFormat="1" ht="36">
      <c r="A99" s="881">
        <v>39</v>
      </c>
      <c r="B99" s="3272" t="s">
        <v>693</v>
      </c>
      <c r="C99" s="881" t="s">
        <v>694</v>
      </c>
      <c r="D99" s="817" t="s">
        <v>695</v>
      </c>
      <c r="E99" s="894">
        <v>0.3</v>
      </c>
      <c r="F99" s="881">
        <v>50</v>
      </c>
    </row>
    <row r="100" spans="1:6" s="877" customFormat="1" ht="24">
      <c r="A100" s="881">
        <v>40</v>
      </c>
      <c r="B100" s="3272"/>
      <c r="C100" s="881" t="s">
        <v>696</v>
      </c>
      <c r="D100" s="817" t="s">
        <v>697</v>
      </c>
      <c r="E100" s="894">
        <v>0.2</v>
      </c>
      <c r="F100" s="881">
        <v>30</v>
      </c>
    </row>
    <row r="101" spans="1:6" s="877" customFormat="1" ht="36">
      <c r="A101" s="881">
        <v>41</v>
      </c>
      <c r="B101" s="327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2" t="s">
        <v>708</v>
      </c>
      <c r="C105" s="881" t="s">
        <v>709</v>
      </c>
      <c r="D105" s="817" t="s">
        <v>710</v>
      </c>
      <c r="E105" s="894">
        <v>0.2</v>
      </c>
      <c r="F105" s="881">
        <v>30</v>
      </c>
    </row>
    <row r="106" spans="1:6" s="877" customFormat="1" ht="36">
      <c r="A106" s="881">
        <v>46</v>
      </c>
      <c r="B106" s="3272"/>
      <c r="C106" s="881" t="s">
        <v>711</v>
      </c>
      <c r="D106" s="817" t="s">
        <v>712</v>
      </c>
      <c r="E106" s="894">
        <v>0.2</v>
      </c>
      <c r="F106" s="881">
        <v>30</v>
      </c>
    </row>
    <row r="107" spans="1:6" s="877" customFormat="1" ht="36">
      <c r="A107" s="881">
        <v>47</v>
      </c>
      <c r="B107" s="3272" t="s">
        <v>713</v>
      </c>
      <c r="C107" s="881" t="s">
        <v>714</v>
      </c>
      <c r="D107" s="817" t="s">
        <v>715</v>
      </c>
      <c r="E107" s="894">
        <v>0.3</v>
      </c>
      <c r="F107" s="881">
        <v>50</v>
      </c>
    </row>
    <row r="108" spans="1:6" s="877" customFormat="1" ht="36">
      <c r="A108" s="881">
        <v>48</v>
      </c>
      <c r="B108" s="327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2" t="s">
        <v>724</v>
      </c>
      <c r="C111" s="881" t="s">
        <v>725</v>
      </c>
      <c r="D111" s="817" t="s">
        <v>726</v>
      </c>
      <c r="E111" s="894">
        <v>0.2</v>
      </c>
      <c r="F111" s="881">
        <v>30</v>
      </c>
    </row>
    <row r="112" spans="1:6" s="877" customFormat="1" ht="24">
      <c r="A112" s="881">
        <v>52</v>
      </c>
      <c r="B112" s="3272"/>
      <c r="C112" s="881" t="s">
        <v>727</v>
      </c>
      <c r="D112" s="817" t="s">
        <v>728</v>
      </c>
      <c r="E112" s="894">
        <v>0.2</v>
      </c>
      <c r="F112" s="881">
        <v>30</v>
      </c>
    </row>
    <row r="113" spans="1:6" s="877" customFormat="1" ht="24">
      <c r="A113" s="881">
        <v>53</v>
      </c>
      <c r="B113" s="327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2" t="s">
        <v>737</v>
      </c>
      <c r="C116" s="881" t="s">
        <v>738</v>
      </c>
      <c r="D116" s="817" t="s">
        <v>739</v>
      </c>
      <c r="E116" s="894">
        <v>0.2</v>
      </c>
      <c r="F116" s="881">
        <v>30</v>
      </c>
    </row>
    <row r="117" spans="1:6" ht="36">
      <c r="A117" s="881">
        <v>57</v>
      </c>
      <c r="B117" s="327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3002</v>
      </c>
    </row>
    <row r="2" spans="1:5" ht="15.75">
      <c r="A2" s="2913" t="s">
        <v>2994</v>
      </c>
      <c r="B2" s="2914" t="e">
        <f ca="1">SUMIF(B6:B13,"&lt;&gt;#ref!",B6:B13)</f>
        <v>#DIV/0!</v>
      </c>
      <c r="C2" s="2913" t="s">
        <v>2995</v>
      </c>
      <c r="D2" s="2913" t="s">
        <v>2996</v>
      </c>
      <c r="E2" s="2914" t="e">
        <f ca="1">SUM(E6:E13)</f>
        <v>#REF!</v>
      </c>
    </row>
    <row r="3" spans="1:5" ht="15.75">
      <c r="A3" s="2913" t="s">
        <v>2997</v>
      </c>
      <c r="B3" s="2914" t="e">
        <f ca="1">ROUND(B2*10000/E2,0)</f>
        <v>#DIV/0!</v>
      </c>
      <c r="C3" s="2913" t="s">
        <v>3003</v>
      </c>
      <c r="D3" s="2915"/>
      <c r="E3" s="2915"/>
    </row>
    <row r="4" spans="1:5" ht="15.75">
      <c r="A4" s="2916"/>
      <c r="B4" s="2915"/>
      <c r="C4" s="2915"/>
      <c r="D4" s="2915"/>
      <c r="E4" s="2915"/>
    </row>
    <row r="5" spans="1:5" ht="28.5">
      <c r="A5" s="2917" t="s">
        <v>2998</v>
      </c>
      <c r="B5" s="2913" t="s">
        <v>2999</v>
      </c>
      <c r="C5" s="2914"/>
      <c r="D5" s="2915"/>
      <c r="E5" s="2913" t="s">
        <v>3000</v>
      </c>
    </row>
    <row r="6" spans="1:5" ht="15.75">
      <c r="A6" s="2918" t="s">
        <v>3001</v>
      </c>
      <c r="B6" s="2914" t="e">
        <f ca="1">SUMIF(INDIRECT("'"&amp;A6&amp;"'"&amp;"!A:A"),"总价",INDIRECT("'"&amp;A6&amp;"'"&amp;"!B:B"))</f>
        <v>#DIV/0!</v>
      </c>
      <c r="C6" s="2913" t="s">
        <v>2995</v>
      </c>
      <c r="D6" s="2915"/>
      <c r="E6" s="2578">
        <f ca="1">SUMIF(INDIRECT("'"&amp;A6&amp;"'"&amp;"!C:C"),"建筑面积",INDIRECT("'"&amp;A6&amp;"'"&amp;"!D:D"))</f>
        <v>0</v>
      </c>
    </row>
    <row r="7" spans="1:5" ht="15.75">
      <c r="A7" s="2918"/>
      <c r="B7" s="2914" t="e">
        <f ca="1">SUMIF(INDIRECT("'"&amp;A7&amp;"'"&amp;"!A:A"),"总价",INDIRECT("'"&amp;A7&amp;"'"&amp;"!B:B"))</f>
        <v>#REF!</v>
      </c>
      <c r="C7" s="2913" t="s">
        <v>2995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2995</v>
      </c>
      <c r="D8" s="2915"/>
      <c r="E8" s="2578" t="e">
        <f t="shared" ca="1" si="0"/>
        <v>#REF!</v>
      </c>
    </row>
    <row r="9" spans="1:5" ht="15.75">
      <c r="A9" s="2918"/>
      <c r="B9" s="2914" t="e">
        <f t="shared" ca="1" si="1"/>
        <v>#REF!</v>
      </c>
      <c r="C9" s="2913" t="s">
        <v>2995</v>
      </c>
      <c r="D9" s="2915"/>
      <c r="E9" s="2578" t="e">
        <f t="shared" ca="1" si="0"/>
        <v>#REF!</v>
      </c>
    </row>
    <row r="10" spans="1:5" ht="15.75">
      <c r="A10" s="2918"/>
      <c r="B10" s="2914" t="e">
        <f t="shared" ca="1" si="1"/>
        <v>#REF!</v>
      </c>
      <c r="C10" s="2913" t="s">
        <v>2995</v>
      </c>
      <c r="D10" s="2915"/>
      <c r="E10" s="2578" t="e">
        <f t="shared" ca="1" si="0"/>
        <v>#REF!</v>
      </c>
    </row>
    <row r="11" spans="1:5" ht="15.75">
      <c r="A11" s="2918"/>
      <c r="B11" s="2914" t="e">
        <f t="shared" ca="1" si="1"/>
        <v>#REF!</v>
      </c>
      <c r="C11" s="2913" t="s">
        <v>2995</v>
      </c>
      <c r="D11" s="2915"/>
      <c r="E11" s="2578" t="e">
        <f t="shared" ca="1" si="0"/>
        <v>#REF!</v>
      </c>
    </row>
    <row r="12" spans="1:5" ht="15.75">
      <c r="A12" s="2918"/>
      <c r="B12" s="2914" t="e">
        <f t="shared" ca="1" si="1"/>
        <v>#REF!</v>
      </c>
      <c r="C12" s="2913" t="s">
        <v>2995</v>
      </c>
      <c r="D12" s="2915"/>
      <c r="E12" s="2578" t="e">
        <f t="shared" ca="1" si="0"/>
        <v>#REF!</v>
      </c>
    </row>
    <row r="13" spans="1:5" ht="15.75">
      <c r="A13" s="2918"/>
      <c r="B13" s="2914" t="e">
        <f t="shared" ca="1" si="1"/>
        <v>#REF!</v>
      </c>
      <c r="C13" s="2913" t="s">
        <v>2995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1632</v>
      </c>
      <c r="C4" s="2964"/>
      <c r="D4" s="2964"/>
      <c r="E4" s="1964"/>
    </row>
    <row r="5" spans="1:5" ht="16.5" thickTop="1">
      <c r="A5" s="1962"/>
      <c r="B5" s="2962" t="s">
        <v>1624</v>
      </c>
      <c r="C5" s="1965" t="s">
        <v>1625</v>
      </c>
      <c r="D5" s="1042">
        <f ca="1">结果表!H101</f>
        <v>1001</v>
      </c>
      <c r="E5" s="1962"/>
    </row>
    <row r="6" spans="1:5" ht="15.75">
      <c r="A6" s="1962"/>
      <c r="B6" s="2962"/>
      <c r="C6" s="1965" t="s">
        <v>1626</v>
      </c>
      <c r="D6" s="1042" t="str">
        <f ca="1">NUMBERSTRING(INT(D5*10000),2)&amp;"元整"</f>
        <v>壹仟零壹万元整</v>
      </c>
      <c r="E6" s="1962"/>
    </row>
    <row r="7" spans="1:5" ht="15.75">
      <c r="A7" s="1962"/>
      <c r="B7" s="2967"/>
      <c r="C7" s="1966" t="s">
        <v>1627</v>
      </c>
      <c r="D7" s="1043">
        <f ca="1">结果表!H102</f>
        <v>112674</v>
      </c>
      <c r="E7" s="1962"/>
    </row>
    <row r="8" spans="1:5" ht="15.75">
      <c r="A8" s="1962"/>
      <c r="B8" s="2968" t="str">
        <f>结果表!E103</f>
        <v>2.估价师知悉的法定优先受偿款</v>
      </c>
      <c r="C8" s="1967" t="s">
        <v>1628</v>
      </c>
      <c r="D8" s="1043">
        <f>结果表!H103</f>
        <v>0</v>
      </c>
      <c r="E8" s="1962"/>
    </row>
    <row r="9" spans="1:5" ht="15.75">
      <c r="A9" s="1962"/>
      <c r="B9" s="2970"/>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1" t="str">
        <f>结果表!E107</f>
        <v>3.房地产抵押价值</v>
      </c>
      <c r="C13" s="1970" t="s">
        <v>1625</v>
      </c>
      <c r="D13" s="1045">
        <f ca="1">结果表!H107</f>
        <v>1001</v>
      </c>
      <c r="E13" s="1962"/>
    </row>
    <row r="14" spans="1:5" ht="15.75">
      <c r="A14" s="1962"/>
      <c r="B14" s="2962"/>
      <c r="C14" s="1965" t="s">
        <v>1626</v>
      </c>
      <c r="D14" s="1042" t="str">
        <f ca="1">NUMBERSTRING(INT(D13*10000),2)&amp;"元整"</f>
        <v>壹仟零壹万元整</v>
      </c>
      <c r="E14" s="1962"/>
    </row>
    <row r="15" spans="1:5" ht="15">
      <c r="A15" s="1962"/>
      <c r="B15" s="2967"/>
      <c r="C15" s="1966" t="s">
        <v>1636</v>
      </c>
      <c r="D15" s="1054">
        <f ca="1">结果表!H108</f>
        <v>112674</v>
      </c>
      <c r="E15" s="1962"/>
    </row>
    <row r="16" spans="1:5" ht="15">
      <c r="A16" s="1962"/>
      <c r="B16" s="2968" t="str">
        <f>结果表!E109</f>
        <v>——</v>
      </c>
      <c r="C16" s="1970" t="s">
        <v>1637</v>
      </c>
      <c r="D16" s="1971" t="str">
        <f>结果表!H109</f>
        <v>——</v>
      </c>
      <c r="E16" s="1962"/>
    </row>
    <row r="17" spans="1:5" ht="15.75">
      <c r="A17" s="1962"/>
      <c r="B17" s="2969"/>
      <c r="C17" s="1965" t="s">
        <v>1638</v>
      </c>
      <c r="D17" s="1042" t="e">
        <f>NUMBERSTRING(INT(D16*10000),2)&amp;"元整"</f>
        <v>#VALUE!</v>
      </c>
      <c r="E17" s="1962"/>
    </row>
    <row r="18" spans="1:5" ht="15">
      <c r="A18" s="1962"/>
      <c r="B18" s="2970"/>
      <c r="C18" s="1966" t="s">
        <v>1627</v>
      </c>
      <c r="D18" s="1054" t="str">
        <f>结果表!H110</f>
        <v>——</v>
      </c>
      <c r="E18" s="1962"/>
    </row>
    <row r="19" spans="1:5" ht="15.75">
      <c r="A19" s="1962"/>
      <c r="B19" s="2961" t="str">
        <f>结果表!E111</f>
        <v>——</v>
      </c>
      <c r="C19" s="1970" t="s">
        <v>1625</v>
      </c>
      <c r="D19" s="1043" t="str">
        <f>结果表!H111</f>
        <v>——</v>
      </c>
      <c r="E19" s="1962"/>
    </row>
    <row r="20" spans="1:5" ht="15.75">
      <c r="A20" s="1962"/>
      <c r="B20" s="2962"/>
      <c r="C20" s="1965" t="s">
        <v>1638</v>
      </c>
      <c r="D20" s="1042" t="e">
        <f>NUMBERSTRING(INT(D19*10000),2)&amp;"元整"</f>
        <v>#VALUE!</v>
      </c>
      <c r="E20" s="1962"/>
    </row>
    <row r="21" spans="1:5" ht="15.75" thickBot="1">
      <c r="A21" s="1962"/>
      <c r="B21" s="2963"/>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78" t="s">
        <v>1150</v>
      </c>
      <c r="C1" s="3278"/>
      <c r="D1" s="3278"/>
      <c r="E1" s="3278"/>
      <c r="F1" s="3278"/>
      <c r="G1" s="3274" t="s">
        <v>1151</v>
      </c>
      <c r="H1" s="3274"/>
      <c r="I1" s="3274"/>
      <c r="J1" s="3274"/>
      <c r="K1" s="3274"/>
      <c r="L1" s="3274"/>
      <c r="N1" s="3274" t="s">
        <v>1152</v>
      </c>
      <c r="O1" s="3274"/>
      <c r="P1" s="3274"/>
      <c r="Q1" s="3274"/>
      <c r="R1" s="1448"/>
      <c r="S1" s="3274" t="s">
        <v>1153</v>
      </c>
      <c r="T1" s="3274"/>
      <c r="U1" s="3274"/>
      <c r="V1" s="3274"/>
      <c r="X1" s="3273" t="s">
        <v>1154</v>
      </c>
      <c r="Y1" s="3274"/>
      <c r="Z1" s="3274"/>
      <c r="AA1" s="3274"/>
      <c r="AB1" s="3274"/>
      <c r="AD1" s="3273" t="s">
        <v>1155</v>
      </c>
      <c r="AE1" s="3274"/>
      <c r="AF1" s="3274"/>
      <c r="AG1" s="3274"/>
      <c r="AH1" s="3274"/>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7"/>
      <c r="J3" s="2927"/>
      <c r="K3" s="2927"/>
      <c r="L3" s="2927"/>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3036</v>
      </c>
      <c r="B4" s="1480">
        <f t="shared" ref="B4:C8" si="2">B5*(1+N4)</f>
        <v>453.57903691012211</v>
      </c>
      <c r="C4" s="1480">
        <f t="shared" si="2"/>
        <v>331.18001284964259</v>
      </c>
      <c r="D4" s="1480">
        <f t="shared" ref="D4:D9" si="3">C4</f>
        <v>331.18001284964259</v>
      </c>
      <c r="E4" s="1480">
        <f t="shared" ref="E4:F8" si="4">E5*(1+P4)</f>
        <v>650.68458238034486</v>
      </c>
      <c r="F4" s="1480">
        <f t="shared" si="4"/>
        <v>287.29097305893981</v>
      </c>
      <c r="G4" s="1458">
        <v>2018</v>
      </c>
      <c r="H4" s="1459">
        <v>1</v>
      </c>
      <c r="I4" s="2927">
        <f>ROUND(AVERAGE(I5:I20),2)</f>
        <v>2.4900000000000002</v>
      </c>
      <c r="J4" s="2927">
        <f>ROUND(AVERAGE(J5:J20),2)</f>
        <v>1.64</v>
      </c>
      <c r="K4" s="2927">
        <f>ROUND(AVERAGE(K5:K20),2)</f>
        <v>2.78</v>
      </c>
      <c r="L4" s="2927">
        <f>ROUND(AVERAGE(L5:L20),2)</f>
        <v>1.39</v>
      </c>
      <c r="N4" s="1475">
        <f t="shared" ref="N4:N9" si="5">I4/100</f>
        <v>2.4900000000000002E-2</v>
      </c>
      <c r="O4" s="1476">
        <f t="shared" ref="O4:Q7" si="6">J4/100</f>
        <v>1.6399999999999998E-2</v>
      </c>
      <c r="P4" s="1476">
        <f t="shared" si="6"/>
        <v>2.7799999999999998E-2</v>
      </c>
      <c r="Q4" s="1476">
        <f t="shared" si="6"/>
        <v>1.3899999999999999E-2</v>
      </c>
      <c r="R4" s="1460"/>
      <c r="S4" s="1458"/>
      <c r="T4" s="1460"/>
      <c r="U4" s="1460"/>
      <c r="V4" s="1460"/>
      <c r="X4" s="1461"/>
      <c r="Y4" s="1461"/>
      <c r="Z4" s="1461"/>
      <c r="AA4" s="1461"/>
      <c r="AB4" s="1461"/>
      <c r="AD4" s="1462"/>
      <c r="AE4" s="1462"/>
      <c r="AF4" s="1462"/>
      <c r="AG4" s="1462"/>
      <c r="AH4" s="1462"/>
    </row>
    <row r="5" spans="1:34" s="1734" customFormat="1">
      <c r="A5" s="1732" t="s">
        <v>3034</v>
      </c>
      <c r="B5" s="1794">
        <f t="shared" si="2"/>
        <v>442.55931008890832</v>
      </c>
      <c r="C5" s="1794">
        <f t="shared" si="2"/>
        <v>325.83629756950273</v>
      </c>
      <c r="D5" s="1794">
        <f t="shared" si="3"/>
        <v>325.83629756950273</v>
      </c>
      <c r="E5" s="1794">
        <f t="shared" si="4"/>
        <v>633.08482426575677</v>
      </c>
      <c r="F5" s="1794">
        <f t="shared" si="4"/>
        <v>283.35237504580311</v>
      </c>
      <c r="G5" s="2924">
        <v>2017</v>
      </c>
      <c r="H5" s="1733">
        <v>4</v>
      </c>
      <c r="I5" s="2928">
        <f>ROUND(AVERAGE(I6:I20),2)</f>
        <v>2.4900000000000002</v>
      </c>
      <c r="J5" s="2928">
        <f>ROUND(AVERAGE(J6:J20),2)</f>
        <v>1.64</v>
      </c>
      <c r="K5" s="2928">
        <f>ROUND(AVERAGE(K6:K20),2)</f>
        <v>2.78</v>
      </c>
      <c r="L5" s="2928">
        <f>ROUND(AVERAGE(L6:L20),2)</f>
        <v>1.39</v>
      </c>
      <c r="N5" s="1469">
        <f t="shared" si="5"/>
        <v>2.4900000000000002E-2</v>
      </c>
      <c r="O5" s="1469">
        <f t="shared" si="6"/>
        <v>1.6399999999999998E-2</v>
      </c>
      <c r="P5" s="1469">
        <f t="shared" si="6"/>
        <v>2.7799999999999998E-2</v>
      </c>
      <c r="Q5" s="1469">
        <f t="shared" si="6"/>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3035</v>
      </c>
      <c r="B6" s="1480">
        <f t="shared" si="2"/>
        <v>431.80730811680002</v>
      </c>
      <c r="C6" s="1480">
        <f t="shared" si="2"/>
        <v>320.57880516480003</v>
      </c>
      <c r="D6" s="1480">
        <f t="shared" si="3"/>
        <v>320.57880516480003</v>
      </c>
      <c r="E6" s="1480">
        <f t="shared" si="4"/>
        <v>615.96110553196797</v>
      </c>
      <c r="F6" s="1480">
        <f t="shared" si="4"/>
        <v>279.46777300108801</v>
      </c>
      <c r="G6" s="2926"/>
      <c r="H6" s="1466">
        <v>3</v>
      </c>
      <c r="I6" s="1466">
        <v>2.98</v>
      </c>
      <c r="J6" s="1466">
        <v>2.11</v>
      </c>
      <c r="K6" s="1466">
        <v>3.24</v>
      </c>
      <c r="L6" s="1481">
        <v>1.72</v>
      </c>
      <c r="M6" s="1474"/>
      <c r="N6" s="1475">
        <f t="shared" si="5"/>
        <v>2.98E-2</v>
      </c>
      <c r="O6" s="1476">
        <f t="shared" si="6"/>
        <v>2.1099999999999997E-2</v>
      </c>
      <c r="P6" s="1476">
        <f t="shared" si="6"/>
        <v>3.2400000000000005E-2</v>
      </c>
      <c r="Q6" s="1476">
        <f t="shared" si="6"/>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
        <v>419.31181600000002</v>
      </c>
      <c r="C7" s="1480">
        <f t="shared" si="2"/>
        <v>313.95436800000004</v>
      </c>
      <c r="D7" s="1480">
        <f t="shared" si="3"/>
        <v>313.95436800000004</v>
      </c>
      <c r="E7" s="1480">
        <f t="shared" si="4"/>
        <v>596.63028431999999</v>
      </c>
      <c r="F7" s="1480">
        <f t="shared" si="4"/>
        <v>274.74220703999998</v>
      </c>
      <c r="G7" s="2925"/>
      <c r="H7" s="1467">
        <v>2</v>
      </c>
      <c r="I7" s="1467">
        <v>3.4</v>
      </c>
      <c r="J7" s="1467">
        <v>2</v>
      </c>
      <c r="K7" s="1467">
        <v>3.82</v>
      </c>
      <c r="L7" s="1482">
        <v>1.68</v>
      </c>
      <c r="M7" s="1474"/>
      <c r="N7" s="1475">
        <f t="shared" si="5"/>
        <v>3.4000000000000002E-2</v>
      </c>
      <c r="O7" s="1476">
        <f t="shared" si="6"/>
        <v>0.02</v>
      </c>
      <c r="P7" s="1476">
        <f t="shared" si="6"/>
        <v>3.8199999999999998E-2</v>
      </c>
      <c r="Q7" s="1476">
        <f t="shared" si="6"/>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 t="shared" si="2"/>
        <v>405.524</v>
      </c>
      <c r="C8" s="1480">
        <f t="shared" si="2"/>
        <v>307.79840000000002</v>
      </c>
      <c r="D8" s="1480">
        <f t="shared" si="3"/>
        <v>307.79840000000002</v>
      </c>
      <c r="E8" s="1480">
        <f t="shared" si="4"/>
        <v>574.67759999999998</v>
      </c>
      <c r="F8" s="1480">
        <f t="shared" si="4"/>
        <v>270.20280000000002</v>
      </c>
      <c r="G8" s="2926"/>
      <c r="H8" s="1466">
        <v>1</v>
      </c>
      <c r="I8" s="1466">
        <v>3.45</v>
      </c>
      <c r="J8" s="1466">
        <v>1.92</v>
      </c>
      <c r="K8" s="1466">
        <v>3.92</v>
      </c>
      <c r="L8" s="1481">
        <v>1.58</v>
      </c>
      <c r="M8" s="1474"/>
      <c r="N8" s="1475">
        <f t="shared" si="5"/>
        <v>3.4500000000000003E-2</v>
      </c>
      <c r="O8" s="1476">
        <f t="shared" ref="O8:Q23" si="7">J8/100</f>
        <v>1.9199999999999998E-2</v>
      </c>
      <c r="P8" s="1476">
        <f t="shared" si="7"/>
        <v>3.9199999999999999E-2</v>
      </c>
      <c r="Q8" s="1476">
        <f t="shared" si="7"/>
        <v>1.5800000000000002E-2</v>
      </c>
      <c r="R8" s="1477"/>
      <c r="S8" s="1475">
        <f>B8/B9-1</f>
        <v>3.4499999999999975E-2</v>
      </c>
      <c r="T8" s="1476">
        <f>C8/C9-1</f>
        <v>1.9200000000000106E-2</v>
      </c>
      <c r="U8" s="1476">
        <f>D8/D9-1</f>
        <v>1.9200000000000106E-2</v>
      </c>
      <c r="V8" s="1476">
        <f>E8/E9-1</f>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 t="shared" si="3"/>
        <v>302</v>
      </c>
      <c r="E9" s="1472">
        <v>553</v>
      </c>
      <c r="F9" s="1473">
        <v>266</v>
      </c>
      <c r="G9" s="3279">
        <v>2016</v>
      </c>
      <c r="H9" s="1464">
        <v>4</v>
      </c>
      <c r="I9" s="1464">
        <v>4.5599999999999996</v>
      </c>
      <c r="J9" s="1464">
        <v>2.15</v>
      </c>
      <c r="K9" s="1464">
        <v>5.32</v>
      </c>
      <c r="L9" s="1465">
        <v>1.57</v>
      </c>
      <c r="N9" s="1475">
        <f t="shared" si="5"/>
        <v>4.5599999999999995E-2</v>
      </c>
      <c r="O9" s="1476">
        <f t="shared" si="7"/>
        <v>2.1499999999999998E-2</v>
      </c>
      <c r="P9" s="1476">
        <f t="shared" si="7"/>
        <v>5.3200000000000004E-2</v>
      </c>
      <c r="Q9" s="1476">
        <f t="shared" si="7"/>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8">B9/(1+N9)</f>
        <v>374.90436113236416</v>
      </c>
      <c r="C10" s="1480">
        <f t="shared" si="8"/>
        <v>295.64366128242779</v>
      </c>
      <c r="D10" s="1480">
        <f t="shared" ref="D10:D69" si="9">C10</f>
        <v>295.64366128242779</v>
      </c>
      <c r="E10" s="1480">
        <f t="shared" ref="E10:F12" si="10">E9/(1+P9)</f>
        <v>525.06646410938095</v>
      </c>
      <c r="F10" s="1480">
        <f t="shared" si="10"/>
        <v>261.88835286009646</v>
      </c>
      <c r="G10" s="3276"/>
      <c r="H10" s="1466">
        <v>3</v>
      </c>
      <c r="I10" s="1466">
        <v>4.12</v>
      </c>
      <c r="J10" s="1466">
        <v>2</v>
      </c>
      <c r="K10" s="1466">
        <v>4.79</v>
      </c>
      <c r="L10" s="1481">
        <v>1.97</v>
      </c>
      <c r="N10" s="1475">
        <f t="shared" ref="N10:Q44" si="11">I10/100</f>
        <v>4.1200000000000001E-2</v>
      </c>
      <c r="O10" s="1476">
        <f t="shared" si="7"/>
        <v>0.02</v>
      </c>
      <c r="P10" s="1476">
        <f t="shared" si="7"/>
        <v>4.7899999999999998E-2</v>
      </c>
      <c r="Q10" s="1476">
        <f t="shared" si="7"/>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8"/>
        <v>360.06949782209392</v>
      </c>
      <c r="C11" s="1480">
        <f t="shared" si="8"/>
        <v>289.84672674747821</v>
      </c>
      <c r="D11" s="1480">
        <f t="shared" si="9"/>
        <v>289.84672674747821</v>
      </c>
      <c r="E11" s="1480">
        <f t="shared" si="10"/>
        <v>501.06543001181495</v>
      </c>
      <c r="F11" s="1480">
        <f t="shared" si="10"/>
        <v>256.82882500744967</v>
      </c>
      <c r="G11" s="3276"/>
      <c r="H11" s="1467">
        <v>2</v>
      </c>
      <c r="I11" s="1467">
        <v>3.85</v>
      </c>
      <c r="J11" s="1467">
        <v>1.95</v>
      </c>
      <c r="K11" s="1467">
        <v>4.4800000000000004</v>
      </c>
      <c r="L11" s="1482">
        <v>1.41</v>
      </c>
      <c r="N11" s="1475">
        <f t="shared" si="11"/>
        <v>3.85E-2</v>
      </c>
      <c r="O11" s="1476">
        <f t="shared" si="7"/>
        <v>1.95E-2</v>
      </c>
      <c r="P11" s="1476">
        <f t="shared" si="7"/>
        <v>4.4800000000000006E-2</v>
      </c>
      <c r="Q11" s="1476">
        <f t="shared" si="7"/>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8"/>
        <v>346.720748986128</v>
      </c>
      <c r="C12" s="1480">
        <f t="shared" si="8"/>
        <v>284.30282172386285</v>
      </c>
      <c r="D12" s="1480">
        <f t="shared" si="9"/>
        <v>284.30282172386285</v>
      </c>
      <c r="E12" s="1480">
        <f t="shared" si="10"/>
        <v>479.58023546306947</v>
      </c>
      <c r="F12" s="1480">
        <f t="shared" si="10"/>
        <v>253.25788877571213</v>
      </c>
      <c r="G12" s="3277"/>
      <c r="H12" s="1466">
        <v>1</v>
      </c>
      <c r="I12" s="1466">
        <v>4.09</v>
      </c>
      <c r="J12" s="1466">
        <v>2.93</v>
      </c>
      <c r="K12" s="1466">
        <v>4.54</v>
      </c>
      <c r="L12" s="1481">
        <v>1.48</v>
      </c>
      <c r="N12" s="1475">
        <f t="shared" si="11"/>
        <v>4.0899999999999999E-2</v>
      </c>
      <c r="O12" s="1476">
        <f t="shared" si="7"/>
        <v>2.9300000000000003E-2</v>
      </c>
      <c r="P12" s="1476">
        <f t="shared" si="7"/>
        <v>4.5400000000000003E-2</v>
      </c>
      <c r="Q12" s="1476">
        <f t="shared" si="7"/>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9"/>
        <v>277</v>
      </c>
      <c r="E13" s="1472">
        <v>459</v>
      </c>
      <c r="F13" s="1473">
        <v>249</v>
      </c>
      <c r="G13" s="3275">
        <v>2015</v>
      </c>
      <c r="H13" s="1485">
        <v>4</v>
      </c>
      <c r="I13" s="1485">
        <v>1.63</v>
      </c>
      <c r="J13" s="1485">
        <v>1.1100000000000001</v>
      </c>
      <c r="K13" s="1485">
        <v>1.77</v>
      </c>
      <c r="L13" s="1486">
        <v>1.89</v>
      </c>
      <c r="N13" s="1487">
        <f t="shared" si="11"/>
        <v>1.6299999999999999E-2</v>
      </c>
      <c r="O13" s="1488">
        <f t="shared" si="7"/>
        <v>1.11E-2</v>
      </c>
      <c r="P13" s="1488">
        <f t="shared" si="7"/>
        <v>1.77E-2</v>
      </c>
      <c r="Q13" s="1488">
        <f t="shared" si="7"/>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12">B13/(1+N13)</f>
        <v>327.65915576109415</v>
      </c>
      <c r="C14" s="1480">
        <f t="shared" si="12"/>
        <v>273.95905449510434</v>
      </c>
      <c r="D14" s="1480">
        <f t="shared" si="9"/>
        <v>273.95905449510434</v>
      </c>
      <c r="E14" s="1480">
        <f t="shared" ref="E14:F16" si="13">E13/(1+P13)</f>
        <v>451.01699911565294</v>
      </c>
      <c r="F14" s="1480">
        <f t="shared" si="13"/>
        <v>244.38119540681129</v>
      </c>
      <c r="G14" s="3276"/>
      <c r="H14" s="1490">
        <v>3</v>
      </c>
      <c r="I14" s="1490">
        <v>1.65</v>
      </c>
      <c r="J14" s="1490">
        <v>0.92</v>
      </c>
      <c r="K14" s="1490">
        <v>1.88</v>
      </c>
      <c r="L14" s="1491">
        <v>1.26</v>
      </c>
      <c r="N14" s="1475">
        <f t="shared" si="11"/>
        <v>1.6500000000000001E-2</v>
      </c>
      <c r="O14" s="1492">
        <f t="shared" si="7"/>
        <v>9.1999999999999998E-3</v>
      </c>
      <c r="P14" s="1492">
        <f t="shared" si="7"/>
        <v>1.8799999999999997E-2</v>
      </c>
      <c r="Q14" s="1492">
        <f t="shared" si="7"/>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12"/>
        <v>322.34053690220776</v>
      </c>
      <c r="C15" s="1480">
        <f t="shared" si="12"/>
        <v>271.46160770422546</v>
      </c>
      <c r="D15" s="1480">
        <f t="shared" si="9"/>
        <v>271.46160770422546</v>
      </c>
      <c r="E15" s="1480">
        <f t="shared" si="13"/>
        <v>442.69434542172456</v>
      </c>
      <c r="F15" s="1480">
        <f t="shared" si="13"/>
        <v>241.34030753190925</v>
      </c>
      <c r="G15" s="3276"/>
      <c r="H15" s="1467">
        <v>2</v>
      </c>
      <c r="I15" s="1467">
        <v>0.77</v>
      </c>
      <c r="J15" s="1467">
        <v>0.69</v>
      </c>
      <c r="K15" s="1467">
        <v>0.8</v>
      </c>
      <c r="L15" s="1482">
        <v>0.88</v>
      </c>
      <c r="N15" s="1475">
        <f t="shared" si="11"/>
        <v>7.7000000000000002E-3</v>
      </c>
      <c r="O15" s="1492">
        <f t="shared" si="7"/>
        <v>6.8999999999999999E-3</v>
      </c>
      <c r="P15" s="1492">
        <f t="shared" si="7"/>
        <v>8.0000000000000002E-3</v>
      </c>
      <c r="Q15" s="1492">
        <f t="shared" si="7"/>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12"/>
        <v>319.87748030386797</v>
      </c>
      <c r="C16" s="1480">
        <f t="shared" si="12"/>
        <v>269.60135833173649</v>
      </c>
      <c r="D16" s="1480">
        <f t="shared" si="9"/>
        <v>269.60135833173649</v>
      </c>
      <c r="E16" s="1480">
        <f t="shared" si="13"/>
        <v>439.18089823583784</v>
      </c>
      <c r="F16" s="1480">
        <f t="shared" si="13"/>
        <v>239.23503918706311</v>
      </c>
      <c r="G16" s="3277"/>
      <c r="H16" s="1466">
        <v>1</v>
      </c>
      <c r="I16" s="1466">
        <v>0.51</v>
      </c>
      <c r="J16" s="1466">
        <v>0.54</v>
      </c>
      <c r="K16" s="1466">
        <v>0.48</v>
      </c>
      <c r="L16" s="1481">
        <v>0.93</v>
      </c>
      <c r="N16" s="1483">
        <f t="shared" si="11"/>
        <v>5.1000000000000004E-3</v>
      </c>
      <c r="O16" s="1484">
        <f t="shared" si="7"/>
        <v>5.4000000000000003E-3</v>
      </c>
      <c r="P16" s="1484">
        <f t="shared" si="7"/>
        <v>4.7999999999999996E-3</v>
      </c>
      <c r="Q16" s="1484">
        <f t="shared" si="7"/>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9"/>
        <v>268</v>
      </c>
      <c r="E17" s="1493">
        <v>437</v>
      </c>
      <c r="F17" s="1494">
        <v>237</v>
      </c>
      <c r="G17" s="3275">
        <v>2014</v>
      </c>
      <c r="H17" s="1485">
        <v>4</v>
      </c>
      <c r="I17" s="1485">
        <v>0.21</v>
      </c>
      <c r="J17" s="1485">
        <v>0.41</v>
      </c>
      <c r="K17" s="1485">
        <v>0.12</v>
      </c>
      <c r="L17" s="1486">
        <v>0.89</v>
      </c>
      <c r="N17" s="1475">
        <f t="shared" si="11"/>
        <v>2.0999999999999999E-3</v>
      </c>
      <c r="O17" s="1476">
        <f t="shared" si="7"/>
        <v>4.0999999999999995E-3</v>
      </c>
      <c r="P17" s="1476">
        <f t="shared" si="7"/>
        <v>1.1999999999999999E-3</v>
      </c>
      <c r="Q17" s="1476">
        <f t="shared" si="7"/>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14">B17/(1+N17)</f>
        <v>317.33359944117353</v>
      </c>
      <c r="C18" s="1480">
        <f t="shared" si="14"/>
        <v>266.90568668459315</v>
      </c>
      <c r="D18" s="1480">
        <f t="shared" si="9"/>
        <v>266.90568668459315</v>
      </c>
      <c r="E18" s="1480">
        <f t="shared" ref="E18:F20" si="15">E17/(1+P17)</f>
        <v>436.47622852576905</v>
      </c>
      <c r="F18" s="1480">
        <f t="shared" si="15"/>
        <v>234.90930716622066</v>
      </c>
      <c r="G18" s="3276"/>
      <c r="H18" s="1495">
        <v>3</v>
      </c>
      <c r="I18" s="1495">
        <v>0.83</v>
      </c>
      <c r="J18" s="1495">
        <v>1.47</v>
      </c>
      <c r="K18" s="1495">
        <v>0.65</v>
      </c>
      <c r="L18" s="1496">
        <v>0.72</v>
      </c>
      <c r="N18" s="1475">
        <f t="shared" si="11"/>
        <v>8.3000000000000001E-3</v>
      </c>
      <c r="O18" s="1476">
        <f t="shared" si="7"/>
        <v>1.47E-2</v>
      </c>
      <c r="P18" s="1476">
        <f t="shared" si="7"/>
        <v>6.5000000000000006E-3</v>
      </c>
      <c r="Q18" s="1476">
        <f t="shared" si="7"/>
        <v>7.1999999999999998E-3</v>
      </c>
      <c r="R18" s="1477"/>
      <c r="S18" s="1475"/>
      <c r="T18" s="1476"/>
      <c r="U18" s="1476"/>
      <c r="V18" s="1476"/>
      <c r="X18" s="1461">
        <f>ROUND(SUMPRODUCT(PRODUCT(1+N18:N$19)),4)</f>
        <v>1.0325</v>
      </c>
      <c r="Y18" s="1461">
        <f>ROUND(SUMPRODUCT(PRODUCT(1+O18:O$19)),4)</f>
        <v>1.0353000000000001</v>
      </c>
      <c r="Z18" s="1461">
        <f>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14"/>
        <v>314.72141172386546</v>
      </c>
      <c r="C19" s="1480">
        <f t="shared" si="14"/>
        <v>263.03901319069001</v>
      </c>
      <c r="D19" s="1480">
        <f t="shared" si="9"/>
        <v>263.03901319069001</v>
      </c>
      <c r="E19" s="1480">
        <f t="shared" si="15"/>
        <v>433.65745506782821</v>
      </c>
      <c r="F19" s="1480">
        <f t="shared" si="15"/>
        <v>233.23005080045735</v>
      </c>
      <c r="G19" s="3276"/>
      <c r="H19" s="1485">
        <v>2</v>
      </c>
      <c r="I19" s="1485">
        <v>2.4</v>
      </c>
      <c r="J19" s="1485">
        <v>2.0299999999999998</v>
      </c>
      <c r="K19" s="1485">
        <v>2.59</v>
      </c>
      <c r="L19" s="1486">
        <v>1.52</v>
      </c>
      <c r="N19" s="1475">
        <f t="shared" si="11"/>
        <v>2.4E-2</v>
      </c>
      <c r="O19" s="1476">
        <f t="shared" si="7"/>
        <v>2.0299999999999999E-2</v>
      </c>
      <c r="P19" s="1476">
        <f t="shared" si="7"/>
        <v>2.5899999999999999E-2</v>
      </c>
      <c r="Q19" s="1476">
        <f t="shared" si="7"/>
        <v>1.52E-2</v>
      </c>
      <c r="R19" s="1477"/>
      <c r="S19" s="1475"/>
      <c r="T19" s="1476"/>
      <c r="U19" s="1476"/>
      <c r="V19" s="1476"/>
      <c r="X19" s="1461">
        <f>1+N19</f>
        <v>1.024</v>
      </c>
      <c r="Y19" s="1461">
        <f>1+O19</f>
        <v>1.0203</v>
      </c>
      <c r="Z19" s="1461">
        <f>Y19</f>
        <v>1.0203</v>
      </c>
      <c r="AA19" s="1461">
        <f>1+P19</f>
        <v>1.0259</v>
      </c>
      <c r="AB19" s="1461">
        <f>1+Q19</f>
        <v>1.0152000000000001</v>
      </c>
      <c r="AD19" s="1462">
        <f>ROUND(AVERAGE(I19:I$20)/100,4)</f>
        <v>2.69E-2</v>
      </c>
      <c r="AE19" s="1462">
        <f>ROUND(AVERAGE(J19:J$20)/100,4)</f>
        <v>2.1899999999999999E-2</v>
      </c>
      <c r="AF19" s="1462">
        <f>AE19</f>
        <v>2.1899999999999999E-2</v>
      </c>
      <c r="AG19" s="1462">
        <f>ROUND(AVERAGE(K19:K$20)/100,4)</f>
        <v>2.9399999999999999E-2</v>
      </c>
      <c r="AH19" s="1462">
        <f>ROUND(AVERAGE(L19:L$20)/100,4)</f>
        <v>1.44E-2</v>
      </c>
    </row>
    <row r="20" spans="1:34" s="1501" customFormat="1" ht="13.5" thickBot="1">
      <c r="A20" s="1497" t="s">
        <v>144</v>
      </c>
      <c r="B20" s="1498">
        <f t="shared" si="14"/>
        <v>307.34512863658733</v>
      </c>
      <c r="C20" s="1498">
        <f t="shared" si="14"/>
        <v>257.80556031626975</v>
      </c>
      <c r="D20" s="1498">
        <f t="shared" si="9"/>
        <v>257.80556031626975</v>
      </c>
      <c r="E20" s="1498">
        <f t="shared" si="15"/>
        <v>422.70928459677179</v>
      </c>
      <c r="F20" s="1498">
        <f t="shared" si="15"/>
        <v>229.73803270336617</v>
      </c>
      <c r="G20" s="3277"/>
      <c r="H20" s="1499">
        <v>1</v>
      </c>
      <c r="I20" s="1499">
        <v>2.97</v>
      </c>
      <c r="J20" s="1499">
        <v>2.34</v>
      </c>
      <c r="K20" s="1499">
        <v>3.28</v>
      </c>
      <c r="L20" s="1500">
        <v>1.36</v>
      </c>
      <c r="N20" s="1502">
        <f t="shared" si="11"/>
        <v>2.9700000000000001E-2</v>
      </c>
      <c r="O20" s="1503">
        <f t="shared" si="7"/>
        <v>2.3399999999999997E-2</v>
      </c>
      <c r="P20" s="1503">
        <f t="shared" si="7"/>
        <v>3.2799999999999996E-2</v>
      </c>
      <c r="Q20" s="1503">
        <f t="shared" si="7"/>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9"/>
        <v>252</v>
      </c>
      <c r="E21" s="1472">
        <v>409</v>
      </c>
      <c r="F21" s="1473">
        <v>227</v>
      </c>
      <c r="G21" s="3280">
        <v>2013</v>
      </c>
      <c r="H21" s="1509">
        <v>4</v>
      </c>
      <c r="I21" s="1509">
        <v>1.83</v>
      </c>
      <c r="J21" s="1509">
        <v>1.68</v>
      </c>
      <c r="K21" s="1509">
        <v>1.97</v>
      </c>
      <c r="L21" s="1510">
        <v>0.87</v>
      </c>
      <c r="N21" s="1487">
        <f t="shared" si="11"/>
        <v>1.83E-2</v>
      </c>
      <c r="O21" s="1488">
        <f t="shared" si="7"/>
        <v>1.6799999999999999E-2</v>
      </c>
      <c r="P21" s="1488">
        <f t="shared" si="7"/>
        <v>1.9699999999999999E-2</v>
      </c>
      <c r="Q21" s="1488">
        <f t="shared" si="7"/>
        <v>8.6999999999999994E-3</v>
      </c>
      <c r="R21" s="1477"/>
      <c r="S21" s="1478"/>
      <c r="T21" s="1479"/>
      <c r="U21" s="1479"/>
      <c r="V21" s="1479"/>
      <c r="X21" s="1479"/>
      <c r="Y21" s="1479"/>
      <c r="Z21" s="1479"/>
    </row>
    <row r="22" spans="1:34">
      <c r="A22" s="1463" t="s">
        <v>1165</v>
      </c>
      <c r="B22" s="1480">
        <f t="shared" ref="B22:C24" si="16">B21/(1+N21)</f>
        <v>293.62663262299913</v>
      </c>
      <c r="C22" s="1480">
        <f t="shared" si="16"/>
        <v>247.83634933123525</v>
      </c>
      <c r="D22" s="1480">
        <f t="shared" si="9"/>
        <v>247.83634933123525</v>
      </c>
      <c r="E22" s="1480">
        <f t="shared" ref="E22:F24" si="17">E21/(1+P21)</f>
        <v>401.09836226341076</v>
      </c>
      <c r="F22" s="1480">
        <f t="shared" si="17"/>
        <v>225.04213343908003</v>
      </c>
      <c r="G22" s="3281"/>
      <c r="H22" s="1490">
        <v>3</v>
      </c>
      <c r="I22" s="1490">
        <v>1.86</v>
      </c>
      <c r="J22" s="1490">
        <v>1.72</v>
      </c>
      <c r="K22" s="1490">
        <v>1.98</v>
      </c>
      <c r="L22" s="1491">
        <v>0.88</v>
      </c>
      <c r="N22" s="1475">
        <f t="shared" si="11"/>
        <v>1.8600000000000002E-2</v>
      </c>
      <c r="O22" s="1492">
        <f t="shared" si="7"/>
        <v>1.72E-2</v>
      </c>
      <c r="P22" s="1492">
        <f t="shared" si="7"/>
        <v>1.9799999999999998E-2</v>
      </c>
      <c r="Q22" s="1492">
        <f t="shared" si="7"/>
        <v>8.8000000000000005E-3</v>
      </c>
      <c r="R22" s="1477"/>
      <c r="S22" s="1475"/>
      <c r="T22" s="1476"/>
      <c r="U22" s="1476"/>
      <c r="V22" s="1476"/>
    </row>
    <row r="23" spans="1:34">
      <c r="A23" s="1463" t="s">
        <v>1166</v>
      </c>
      <c r="B23" s="1480">
        <f t="shared" si="16"/>
        <v>288.2649053828776</v>
      </c>
      <c r="C23" s="1480">
        <f t="shared" si="16"/>
        <v>243.64564425013293</v>
      </c>
      <c r="D23" s="1480">
        <f t="shared" si="9"/>
        <v>243.64564425013293</v>
      </c>
      <c r="E23" s="1480">
        <f t="shared" si="17"/>
        <v>393.31080825986544</v>
      </c>
      <c r="F23" s="1480">
        <f t="shared" si="17"/>
        <v>223.07903790551154</v>
      </c>
      <c r="G23" s="3281"/>
      <c r="H23" s="1467">
        <v>2</v>
      </c>
      <c r="I23" s="1467">
        <v>2.04</v>
      </c>
      <c r="J23" s="1467">
        <v>2.33</v>
      </c>
      <c r="K23" s="1467">
        <v>2.0699999999999998</v>
      </c>
      <c r="L23" s="1482">
        <v>0.69</v>
      </c>
      <c r="N23" s="1475">
        <f t="shared" si="11"/>
        <v>2.0400000000000001E-2</v>
      </c>
      <c r="O23" s="1492">
        <f t="shared" si="7"/>
        <v>2.3300000000000001E-2</v>
      </c>
      <c r="P23" s="1492">
        <f t="shared" si="7"/>
        <v>2.07E-2</v>
      </c>
      <c r="Q23" s="1492">
        <f t="shared" si="7"/>
        <v>6.8999999999999999E-3</v>
      </c>
      <c r="R23" s="1477"/>
      <c r="S23" s="1475"/>
      <c r="T23" s="1476"/>
      <c r="U23" s="1476"/>
      <c r="V23" s="1476"/>
      <c r="X23" s="1511"/>
      <c r="Y23" s="1512"/>
    </row>
    <row r="24" spans="1:34">
      <c r="A24" s="1463" t="s">
        <v>1167</v>
      </c>
      <c r="B24" s="1480">
        <f t="shared" si="16"/>
        <v>282.50186729015837</v>
      </c>
      <c r="C24" s="1480">
        <f t="shared" si="16"/>
        <v>238.09796174155468</v>
      </c>
      <c r="D24" s="1480">
        <f t="shared" si="9"/>
        <v>238.09796174155468</v>
      </c>
      <c r="E24" s="1480">
        <f t="shared" si="17"/>
        <v>385.33438646014054</v>
      </c>
      <c r="F24" s="1480">
        <f t="shared" si="17"/>
        <v>221.55034055567739</v>
      </c>
      <c r="G24" s="3282"/>
      <c r="H24" s="1466">
        <v>1</v>
      </c>
      <c r="I24" s="1466">
        <v>1.67</v>
      </c>
      <c r="J24" s="1466">
        <v>1.31</v>
      </c>
      <c r="K24" s="1466">
        <v>1.85</v>
      </c>
      <c r="L24" s="1481">
        <v>0.96</v>
      </c>
      <c r="N24" s="1483">
        <f t="shared" si="11"/>
        <v>1.67E-2</v>
      </c>
      <c r="O24" s="1484">
        <f t="shared" si="11"/>
        <v>1.3100000000000001E-2</v>
      </c>
      <c r="P24" s="1484">
        <f t="shared" si="11"/>
        <v>1.8500000000000003E-2</v>
      </c>
      <c r="Q24" s="1484">
        <f t="shared" si="11"/>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9"/>
        <v>234</v>
      </c>
      <c r="E25" s="1514">
        <v>379</v>
      </c>
      <c r="F25" s="1515">
        <v>220</v>
      </c>
      <c r="G25" s="3275">
        <v>2012</v>
      </c>
      <c r="H25" s="1485">
        <v>4</v>
      </c>
      <c r="I25" s="1485">
        <v>0.91</v>
      </c>
      <c r="J25" s="1485">
        <v>0.68</v>
      </c>
      <c r="K25" s="1485">
        <v>0.98</v>
      </c>
      <c r="L25" s="1486">
        <v>0.9</v>
      </c>
      <c r="N25" s="1475">
        <f t="shared" si="11"/>
        <v>9.1000000000000004E-3</v>
      </c>
      <c r="O25" s="1476">
        <f t="shared" si="11"/>
        <v>6.8000000000000005E-3</v>
      </c>
      <c r="P25" s="1476">
        <f t="shared" si="11"/>
        <v>9.7999999999999997E-3</v>
      </c>
      <c r="Q25" s="1476">
        <f t="shared" si="11"/>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9"/>
        <v>232.41954707985698</v>
      </c>
      <c r="E26" s="1480">
        <f t="shared" ref="E26:F28" si="18">E25/(1+P25)</f>
        <v>375.32184591008121</v>
      </c>
      <c r="F26" s="1480">
        <f t="shared" si="18"/>
        <v>218.03766105054513</v>
      </c>
      <c r="G26" s="3276"/>
      <c r="H26" s="1490">
        <v>3</v>
      </c>
      <c r="I26" s="1490">
        <v>0.09</v>
      </c>
      <c r="J26" s="1490">
        <v>0.28999999999999998</v>
      </c>
      <c r="K26" s="1490">
        <v>-0.01</v>
      </c>
      <c r="L26" s="1491">
        <v>0.57999999999999996</v>
      </c>
      <c r="N26" s="1475">
        <f t="shared" si="11"/>
        <v>8.9999999999999998E-4</v>
      </c>
      <c r="O26" s="1476">
        <f t="shared" si="11"/>
        <v>2.8999999999999998E-3</v>
      </c>
      <c r="P26" s="1476">
        <f t="shared" si="11"/>
        <v>-1E-4</v>
      </c>
      <c r="Q26" s="1476">
        <f t="shared" si="11"/>
        <v>5.7999999999999996E-3</v>
      </c>
      <c r="R26" s="1477"/>
      <c r="S26" s="1475"/>
      <c r="T26" s="1476"/>
      <c r="U26" s="1476"/>
      <c r="V26" s="1476"/>
    </row>
    <row r="27" spans="1:34">
      <c r="A27" s="1463" t="s">
        <v>1170</v>
      </c>
      <c r="B27" s="1480">
        <f>B26/(1+N26)</f>
        <v>275.24529281292263</v>
      </c>
      <c r="C27" s="1480">
        <f>C26/(1+O26)</f>
        <v>231.74747938962707</v>
      </c>
      <c r="D27" s="1480">
        <f t="shared" si="9"/>
        <v>231.74747938962707</v>
      </c>
      <c r="E27" s="1480">
        <f t="shared" si="18"/>
        <v>375.35938184826603</v>
      </c>
      <c r="F27" s="1480">
        <f t="shared" si="18"/>
        <v>216.78033510692495</v>
      </c>
      <c r="G27" s="3276"/>
      <c r="H27" s="1467">
        <v>2</v>
      </c>
      <c r="I27" s="1467">
        <v>0.02</v>
      </c>
      <c r="J27" s="1467">
        <v>0.12</v>
      </c>
      <c r="K27" s="1467">
        <v>-0.08</v>
      </c>
      <c r="L27" s="1482">
        <v>1.24</v>
      </c>
      <c r="N27" s="1475">
        <f t="shared" si="11"/>
        <v>2.0000000000000001E-4</v>
      </c>
      <c r="O27" s="1476">
        <f t="shared" si="11"/>
        <v>1.1999999999999999E-3</v>
      </c>
      <c r="P27" s="1476">
        <f t="shared" si="11"/>
        <v>-8.0000000000000004E-4</v>
      </c>
      <c r="Q27" s="1476">
        <f t="shared" si="11"/>
        <v>1.24E-2</v>
      </c>
      <c r="R27" s="1477"/>
      <c r="S27" s="1475"/>
      <c r="T27" s="1476"/>
      <c r="U27" s="1476"/>
      <c r="V27" s="1476"/>
    </row>
    <row r="28" spans="1:34" ht="13.5" thickBot="1">
      <c r="A28" s="1463" t="s">
        <v>1171</v>
      </c>
      <c r="B28" s="1480">
        <f>B27/(1+N27)</f>
        <v>275.19025476197027</v>
      </c>
      <c r="C28" s="1516">
        <v>232</v>
      </c>
      <c r="D28" s="1516">
        <f t="shared" si="9"/>
        <v>232</v>
      </c>
      <c r="E28" s="1480">
        <f t="shared" si="18"/>
        <v>375.65990977608692</v>
      </c>
      <c r="F28" s="1480">
        <f t="shared" si="18"/>
        <v>214.12518283971252</v>
      </c>
      <c r="G28" s="3277"/>
      <c r="H28" s="1466">
        <v>1</v>
      </c>
      <c r="I28" s="1466">
        <v>0.02</v>
      </c>
      <c r="J28" s="1466">
        <v>0.13</v>
      </c>
      <c r="K28" s="1466">
        <v>-0.04</v>
      </c>
      <c r="L28" s="1481">
        <v>0.46</v>
      </c>
      <c r="N28" s="1475">
        <f t="shared" si="11"/>
        <v>2.0000000000000001E-4</v>
      </c>
      <c r="O28" s="1476">
        <f t="shared" si="11"/>
        <v>1.2999999999999999E-3</v>
      </c>
      <c r="P28" s="1476">
        <f t="shared" si="11"/>
        <v>-4.0000000000000002E-4</v>
      </c>
      <c r="Q28" s="1476">
        <f t="shared" si="11"/>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9"/>
        <v>232</v>
      </c>
      <c r="E29" s="1472">
        <v>376</v>
      </c>
      <c r="F29" s="1473">
        <v>213</v>
      </c>
      <c r="G29" s="3275">
        <v>2011</v>
      </c>
      <c r="H29" s="1485">
        <v>4</v>
      </c>
      <c r="I29" s="1485">
        <v>-0.2</v>
      </c>
      <c r="J29" s="1485">
        <v>0.04</v>
      </c>
      <c r="K29" s="1485">
        <v>-0.34</v>
      </c>
      <c r="L29" s="1486">
        <v>0.46</v>
      </c>
      <c r="N29" s="1487">
        <f t="shared" si="11"/>
        <v>-2E-3</v>
      </c>
      <c r="O29" s="1488">
        <f t="shared" si="11"/>
        <v>4.0000000000000002E-4</v>
      </c>
      <c r="P29" s="1488">
        <f t="shared" si="11"/>
        <v>-3.4000000000000002E-3</v>
      </c>
      <c r="Q29" s="1488">
        <f t="shared" si="11"/>
        <v>4.5999999999999999E-3</v>
      </c>
      <c r="R29" s="1477"/>
      <c r="S29" s="1478"/>
      <c r="T29" s="1479"/>
      <c r="U29" s="1479"/>
      <c r="V29" s="1479"/>
      <c r="X29" s="1479"/>
      <c r="Y29" s="1479"/>
      <c r="Z29" s="1479"/>
    </row>
    <row r="30" spans="1:34">
      <c r="A30" s="1463" t="s">
        <v>1173</v>
      </c>
      <c r="B30" s="1480">
        <f t="shared" ref="B30:C32" si="19">B29/(1+N29)</f>
        <v>275.55110220440883</v>
      </c>
      <c r="C30" s="1480">
        <f t="shared" si="19"/>
        <v>231.90723710515795</v>
      </c>
      <c r="D30" s="1480">
        <f t="shared" si="9"/>
        <v>231.90723710515795</v>
      </c>
      <c r="E30" s="1480">
        <f t="shared" ref="E30:F32" si="20">E29/(1+P29)</f>
        <v>377.28276138872161</v>
      </c>
      <c r="F30" s="1480">
        <f t="shared" si="20"/>
        <v>212.02468644236512</v>
      </c>
      <c r="G30" s="3276">
        <v>2011</v>
      </c>
      <c r="H30" s="1490">
        <v>3</v>
      </c>
      <c r="I30" s="1490">
        <v>0.13</v>
      </c>
      <c r="J30" s="1490">
        <v>0.75</v>
      </c>
      <c r="K30" s="1490">
        <v>-0.08</v>
      </c>
      <c r="L30" s="1491">
        <v>0.53</v>
      </c>
      <c r="N30" s="1475">
        <f t="shared" si="11"/>
        <v>1.2999999999999999E-3</v>
      </c>
      <c r="O30" s="1492">
        <f t="shared" si="11"/>
        <v>7.4999999999999997E-3</v>
      </c>
      <c r="P30" s="1492">
        <f t="shared" si="11"/>
        <v>-8.0000000000000004E-4</v>
      </c>
      <c r="Q30" s="1492">
        <f t="shared" si="11"/>
        <v>5.3E-3</v>
      </c>
      <c r="R30" s="1477"/>
      <c r="S30" s="1475"/>
      <c r="T30" s="1476"/>
      <c r="U30" s="1476"/>
      <c r="V30" s="1476"/>
    </row>
    <row r="31" spans="1:34">
      <c r="A31" s="1463" t="s">
        <v>1174</v>
      </c>
      <c r="B31" s="1480">
        <f t="shared" si="19"/>
        <v>275.19335084830601</v>
      </c>
      <c r="C31" s="1480">
        <f t="shared" si="19"/>
        <v>230.18088050139744</v>
      </c>
      <c r="D31" s="1480">
        <f t="shared" si="9"/>
        <v>230.18088050139744</v>
      </c>
      <c r="E31" s="1480">
        <f t="shared" si="20"/>
        <v>377.58482925212331</v>
      </c>
      <c r="F31" s="1480">
        <f t="shared" si="20"/>
        <v>210.90687997847917</v>
      </c>
      <c r="G31" s="3276">
        <v>2011</v>
      </c>
      <c r="H31" s="1467">
        <v>2</v>
      </c>
      <c r="I31" s="1467">
        <v>-0.4</v>
      </c>
      <c r="J31" s="1467">
        <v>0.17</v>
      </c>
      <c r="K31" s="1467">
        <v>-0.57999999999999996</v>
      </c>
      <c r="L31" s="1482">
        <v>-0.2</v>
      </c>
      <c r="N31" s="1475">
        <f t="shared" si="11"/>
        <v>-4.0000000000000001E-3</v>
      </c>
      <c r="O31" s="1492">
        <f t="shared" si="11"/>
        <v>1.7000000000000001E-3</v>
      </c>
      <c r="P31" s="1492">
        <f t="shared" si="11"/>
        <v>-5.7999999999999996E-3</v>
      </c>
      <c r="Q31" s="1492">
        <f t="shared" si="11"/>
        <v>-2E-3</v>
      </c>
      <c r="R31" s="1477"/>
      <c r="S31" s="1475"/>
      <c r="T31" s="1476"/>
      <c r="U31" s="1476"/>
      <c r="V31" s="1476"/>
    </row>
    <row r="32" spans="1:34" ht="13.5" thickBot="1">
      <c r="A32" s="1463" t="s">
        <v>1175</v>
      </c>
      <c r="B32" s="1480">
        <f t="shared" si="19"/>
        <v>276.29854502841971</v>
      </c>
      <c r="C32" s="1480">
        <f t="shared" si="19"/>
        <v>229.79023709833027</v>
      </c>
      <c r="D32" s="1480">
        <f t="shared" si="9"/>
        <v>229.79023709833027</v>
      </c>
      <c r="E32" s="1480">
        <f t="shared" si="20"/>
        <v>379.78759731655936</v>
      </c>
      <c r="F32" s="1480">
        <f t="shared" si="20"/>
        <v>211.32953905659235</v>
      </c>
      <c r="G32" s="3277">
        <v>2011</v>
      </c>
      <c r="H32" s="1466">
        <v>1</v>
      </c>
      <c r="I32" s="1466">
        <v>2.65</v>
      </c>
      <c r="J32" s="1466">
        <v>3.76</v>
      </c>
      <c r="K32" s="1466">
        <v>1.89</v>
      </c>
      <c r="L32" s="1481">
        <v>7.95</v>
      </c>
      <c r="N32" s="1483">
        <f t="shared" si="11"/>
        <v>2.6499999999999999E-2</v>
      </c>
      <c r="O32" s="1484">
        <f t="shared" si="11"/>
        <v>3.7599999999999995E-2</v>
      </c>
      <c r="P32" s="1484">
        <f t="shared" si="11"/>
        <v>1.89E-2</v>
      </c>
      <c r="Q32" s="1484">
        <f t="shared" si="11"/>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9"/>
        <v>221</v>
      </c>
      <c r="E33" s="1472">
        <v>373</v>
      </c>
      <c r="F33" s="1473">
        <v>196</v>
      </c>
      <c r="G33" s="3275">
        <v>2010</v>
      </c>
      <c r="H33" s="1485">
        <v>4</v>
      </c>
      <c r="I33" s="1485">
        <v>5.72</v>
      </c>
      <c r="J33" s="1485">
        <v>6.57</v>
      </c>
      <c r="K33" s="1485">
        <v>5.72</v>
      </c>
      <c r="L33" s="1486">
        <v>2.72</v>
      </c>
      <c r="N33" s="1475">
        <f t="shared" si="11"/>
        <v>5.7200000000000001E-2</v>
      </c>
      <c r="O33" s="1476">
        <f t="shared" si="11"/>
        <v>6.5700000000000008E-2</v>
      </c>
      <c r="P33" s="1476">
        <f t="shared" si="11"/>
        <v>5.7200000000000001E-2</v>
      </c>
      <c r="Q33" s="1476">
        <f t="shared" si="11"/>
        <v>2.7200000000000002E-2</v>
      </c>
      <c r="R33" s="1477"/>
      <c r="S33" s="1478"/>
      <c r="T33" s="1479"/>
      <c r="U33" s="1479"/>
      <c r="V33" s="1479"/>
      <c r="X33" s="1479"/>
      <c r="Y33" s="1479"/>
      <c r="Z33" s="1479"/>
    </row>
    <row r="34" spans="1:26">
      <c r="A34" s="1463" t="s">
        <v>1177</v>
      </c>
      <c r="B34" s="1480">
        <f t="shared" ref="B34:C36" si="21">B33/(1+N33)</f>
        <v>254.44570563753314</v>
      </c>
      <c r="C34" s="1480">
        <f t="shared" si="21"/>
        <v>207.37543398705074</v>
      </c>
      <c r="D34" s="1480">
        <f t="shared" si="9"/>
        <v>207.37543398705074</v>
      </c>
      <c r="E34" s="1480">
        <f t="shared" ref="E34:F36" si="22">E33/(1+P33)</f>
        <v>352.81876655315932</v>
      </c>
      <c r="F34" s="1480">
        <f t="shared" si="22"/>
        <v>190.809968847352</v>
      </c>
      <c r="G34" s="3276">
        <v>2010</v>
      </c>
      <c r="H34" s="1490">
        <v>3</v>
      </c>
      <c r="I34" s="1490">
        <v>4.7300000000000004</v>
      </c>
      <c r="J34" s="1490">
        <v>3.9</v>
      </c>
      <c r="K34" s="1490">
        <v>5.03</v>
      </c>
      <c r="L34" s="1491">
        <v>4.21</v>
      </c>
      <c r="N34" s="1475">
        <f t="shared" si="11"/>
        <v>4.7300000000000002E-2</v>
      </c>
      <c r="O34" s="1476">
        <f t="shared" si="11"/>
        <v>3.9E-2</v>
      </c>
      <c r="P34" s="1476">
        <f t="shared" si="11"/>
        <v>5.0300000000000004E-2</v>
      </c>
      <c r="Q34" s="1476">
        <f t="shared" si="11"/>
        <v>4.2099999999999999E-2</v>
      </c>
      <c r="R34" s="1477"/>
      <c r="S34" s="1475"/>
      <c r="T34" s="1476"/>
      <c r="U34" s="1476"/>
      <c r="V34" s="1476"/>
    </row>
    <row r="35" spans="1:26">
      <c r="A35" s="1463" t="s">
        <v>1178</v>
      </c>
      <c r="B35" s="1480">
        <f t="shared" si="21"/>
        <v>242.95398227588385</v>
      </c>
      <c r="C35" s="1480">
        <f t="shared" si="21"/>
        <v>199.59137053614126</v>
      </c>
      <c r="D35" s="1480">
        <f t="shared" si="9"/>
        <v>199.59137053614126</v>
      </c>
      <c r="E35" s="1480">
        <f t="shared" si="22"/>
        <v>335.92189522342125</v>
      </c>
      <c r="F35" s="1480">
        <f t="shared" si="22"/>
        <v>183.10139991109489</v>
      </c>
      <c r="G35" s="3276">
        <v>2010</v>
      </c>
      <c r="H35" s="1467">
        <v>2</v>
      </c>
      <c r="I35" s="1467">
        <v>4.6900000000000004</v>
      </c>
      <c r="J35" s="1467">
        <v>3.55</v>
      </c>
      <c r="K35" s="1467">
        <v>5.07</v>
      </c>
      <c r="L35" s="1482">
        <v>4.2300000000000004</v>
      </c>
      <c r="N35" s="1475">
        <f t="shared" si="11"/>
        <v>4.6900000000000004E-2</v>
      </c>
      <c r="O35" s="1476">
        <f t="shared" si="11"/>
        <v>3.5499999999999997E-2</v>
      </c>
      <c r="P35" s="1476">
        <f t="shared" si="11"/>
        <v>5.0700000000000002E-2</v>
      </c>
      <c r="Q35" s="1476">
        <f t="shared" si="11"/>
        <v>4.2300000000000004E-2</v>
      </c>
      <c r="R35" s="1477"/>
      <c r="S35" s="1475"/>
      <c r="T35" s="1476"/>
      <c r="U35" s="1476"/>
      <c r="V35" s="1476"/>
    </row>
    <row r="36" spans="1:26" ht="13.5" thickBot="1">
      <c r="A36" s="1463" t="s">
        <v>1179</v>
      </c>
      <c r="B36" s="1480">
        <f t="shared" si="21"/>
        <v>232.06990378821649</v>
      </c>
      <c r="C36" s="1480">
        <f t="shared" si="21"/>
        <v>192.74878854286936</v>
      </c>
      <c r="D36" s="1480">
        <f t="shared" si="9"/>
        <v>192.74878854286936</v>
      </c>
      <c r="E36" s="1480">
        <f t="shared" si="22"/>
        <v>319.71247284992984</v>
      </c>
      <c r="F36" s="1480">
        <f t="shared" si="22"/>
        <v>175.67053622862409</v>
      </c>
      <c r="G36" s="3277">
        <v>2010</v>
      </c>
      <c r="H36" s="1466">
        <v>1</v>
      </c>
      <c r="I36" s="1466">
        <v>5.4</v>
      </c>
      <c r="J36" s="1466">
        <v>3.2</v>
      </c>
      <c r="K36" s="1466">
        <v>6.16</v>
      </c>
      <c r="L36" s="1481">
        <v>4.51</v>
      </c>
      <c r="N36" s="1475">
        <f t="shared" si="11"/>
        <v>5.4000000000000006E-2</v>
      </c>
      <c r="O36" s="1476">
        <f t="shared" si="11"/>
        <v>3.2000000000000001E-2</v>
      </c>
      <c r="P36" s="1476">
        <f t="shared" si="11"/>
        <v>6.1600000000000002E-2</v>
      </c>
      <c r="Q36" s="1476">
        <f t="shared" si="11"/>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9"/>
        <v>187</v>
      </c>
      <c r="E37" s="1472">
        <v>301</v>
      </c>
      <c r="F37" s="1473">
        <v>168</v>
      </c>
      <c r="G37" s="3275">
        <v>2009</v>
      </c>
      <c r="H37" s="1485">
        <v>4</v>
      </c>
      <c r="I37" s="1485">
        <v>2.2999999999999998</v>
      </c>
      <c r="J37" s="1485">
        <v>1.04</v>
      </c>
      <c r="K37" s="1485">
        <v>2.84</v>
      </c>
      <c r="L37" s="1486">
        <v>0.67</v>
      </c>
      <c r="N37" s="1487">
        <f t="shared" si="11"/>
        <v>2.3E-2</v>
      </c>
      <c r="O37" s="1488">
        <f t="shared" si="11"/>
        <v>1.04E-2</v>
      </c>
      <c r="P37" s="1488">
        <f t="shared" si="11"/>
        <v>2.8399999999999998E-2</v>
      </c>
      <c r="Q37" s="1488">
        <f t="shared" si="11"/>
        <v>6.7000000000000002E-3</v>
      </c>
      <c r="R37" s="1477"/>
      <c r="S37" s="1478"/>
      <c r="T37" s="1479"/>
      <c r="U37" s="1479"/>
      <c r="V37" s="1479"/>
      <c r="X37" s="1479"/>
      <c r="Y37" s="1479"/>
      <c r="Z37" s="1479"/>
    </row>
    <row r="38" spans="1:26">
      <c r="A38" s="1463" t="s">
        <v>1181</v>
      </c>
      <c r="B38" s="1480">
        <f t="shared" ref="B38:C40" si="23">B37/(1+N37)</f>
        <v>215.05376344086022</v>
      </c>
      <c r="C38" s="1480">
        <f t="shared" si="23"/>
        <v>185.0752177355503</v>
      </c>
      <c r="D38" s="1480">
        <f t="shared" si="9"/>
        <v>185.0752177355503</v>
      </c>
      <c r="E38" s="1480">
        <f t="shared" ref="E38:F40" si="24">E37/(1+P37)</f>
        <v>292.68767016725008</v>
      </c>
      <c r="F38" s="1480">
        <f t="shared" si="24"/>
        <v>166.88189132810174</v>
      </c>
      <c r="G38" s="3276">
        <v>2009</v>
      </c>
      <c r="H38" s="1490">
        <v>3</v>
      </c>
      <c r="I38" s="1490">
        <v>2.1</v>
      </c>
      <c r="J38" s="1490">
        <v>1.86</v>
      </c>
      <c r="K38" s="1490">
        <v>2.29</v>
      </c>
      <c r="L38" s="1491">
        <v>0.85</v>
      </c>
      <c r="N38" s="1475">
        <f t="shared" si="11"/>
        <v>2.1000000000000001E-2</v>
      </c>
      <c r="O38" s="1492">
        <f t="shared" si="11"/>
        <v>1.8600000000000002E-2</v>
      </c>
      <c r="P38" s="1492">
        <f t="shared" si="11"/>
        <v>2.29E-2</v>
      </c>
      <c r="Q38" s="1492">
        <f t="shared" si="11"/>
        <v>8.5000000000000006E-3</v>
      </c>
      <c r="R38" s="1477"/>
      <c r="S38" s="1475"/>
      <c r="T38" s="1476"/>
      <c r="U38" s="1476"/>
      <c r="V38" s="1476"/>
    </row>
    <row r="39" spans="1:26">
      <c r="A39" s="1463" t="s">
        <v>1182</v>
      </c>
      <c r="B39" s="1480">
        <f t="shared" si="23"/>
        <v>210.630522469011</v>
      </c>
      <c r="C39" s="1480">
        <f t="shared" si="23"/>
        <v>181.69567812247232</v>
      </c>
      <c r="D39" s="1480">
        <f t="shared" si="9"/>
        <v>181.69567812247232</v>
      </c>
      <c r="E39" s="1480">
        <f t="shared" si="24"/>
        <v>286.13517466736738</v>
      </c>
      <c r="F39" s="1480">
        <f t="shared" si="24"/>
        <v>165.47535084591149</v>
      </c>
      <c r="G39" s="3276">
        <v>2009</v>
      </c>
      <c r="H39" s="1467">
        <v>2</v>
      </c>
      <c r="I39" s="1467">
        <v>0.86</v>
      </c>
      <c r="J39" s="1467">
        <v>-1.1299999999999999</v>
      </c>
      <c r="K39" s="1467">
        <v>1.79</v>
      </c>
      <c r="L39" s="1482">
        <v>-2.0699999999999998</v>
      </c>
      <c r="N39" s="1475">
        <f t="shared" si="11"/>
        <v>8.6E-3</v>
      </c>
      <c r="O39" s="1492">
        <f t="shared" si="11"/>
        <v>-1.1299999999999999E-2</v>
      </c>
      <c r="P39" s="1492">
        <f t="shared" si="11"/>
        <v>1.7899999999999999E-2</v>
      </c>
      <c r="Q39" s="1492">
        <f t="shared" si="11"/>
        <v>-2.07E-2</v>
      </c>
      <c r="R39" s="1477"/>
      <c r="S39" s="1475"/>
      <c r="T39" s="1476"/>
      <c r="U39" s="1476"/>
      <c r="V39" s="1476"/>
    </row>
    <row r="40" spans="1:26">
      <c r="A40" s="1463" t="s">
        <v>1183</v>
      </c>
      <c r="B40" s="1480">
        <f t="shared" si="23"/>
        <v>208.83454537875372</v>
      </c>
      <c r="C40" s="1480">
        <f t="shared" si="23"/>
        <v>183.77230517090351</v>
      </c>
      <c r="D40" s="1480">
        <f t="shared" si="9"/>
        <v>183.77230517090351</v>
      </c>
      <c r="E40" s="1480">
        <f t="shared" si="24"/>
        <v>281.10342338870947</v>
      </c>
      <c r="F40" s="1480">
        <f t="shared" si="24"/>
        <v>168.97309388942256</v>
      </c>
      <c r="G40" s="3277">
        <v>2009</v>
      </c>
      <c r="H40" s="1466">
        <v>1</v>
      </c>
      <c r="I40" s="1466">
        <v>-2.64</v>
      </c>
      <c r="J40" s="1466">
        <v>-2.5299999999999998</v>
      </c>
      <c r="K40" s="1466">
        <v>-3.02</v>
      </c>
      <c r="L40" s="1481">
        <v>1.52</v>
      </c>
      <c r="N40" s="1483">
        <f t="shared" si="11"/>
        <v>-2.64E-2</v>
      </c>
      <c r="O40" s="1484">
        <f t="shared" si="11"/>
        <v>-2.53E-2</v>
      </c>
      <c r="P40" s="1484">
        <f t="shared" si="11"/>
        <v>-3.0200000000000001E-2</v>
      </c>
      <c r="Q40" s="1484">
        <f t="shared" si="11"/>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9"/>
        <v>188</v>
      </c>
      <c r="E41" s="1514">
        <v>289</v>
      </c>
      <c r="F41" s="1515">
        <v>166</v>
      </c>
      <c r="G41" s="3275">
        <v>2008</v>
      </c>
      <c r="H41" s="1485">
        <v>4</v>
      </c>
      <c r="I41" s="1485">
        <v>1.73</v>
      </c>
      <c r="J41" s="1485">
        <v>0.03</v>
      </c>
      <c r="K41" s="1485">
        <v>2.59</v>
      </c>
      <c r="L41" s="1486">
        <v>-1.66</v>
      </c>
      <c r="N41" s="1475">
        <f t="shared" si="11"/>
        <v>1.7299999999999999E-2</v>
      </c>
      <c r="O41" s="1476">
        <f t="shared" si="11"/>
        <v>2.9999999999999997E-4</v>
      </c>
      <c r="P41" s="1476">
        <f t="shared" si="11"/>
        <v>2.5899999999999999E-2</v>
      </c>
      <c r="Q41" s="1476">
        <f t="shared" si="11"/>
        <v>-1.66E-2</v>
      </c>
      <c r="R41" s="1477"/>
      <c r="S41" s="1478"/>
      <c r="T41" s="1479"/>
      <c r="U41" s="1479"/>
      <c r="V41" s="1479"/>
      <c r="X41" s="1479"/>
      <c r="Y41" s="1479"/>
      <c r="Z41" s="1479"/>
    </row>
    <row r="42" spans="1:26">
      <c r="A42" s="1463" t="s">
        <v>1185</v>
      </c>
      <c r="B42" s="1480">
        <f t="shared" ref="B42:C44" si="25">B41/(1+N41)</f>
        <v>210.36075887152265</v>
      </c>
      <c r="C42" s="1480">
        <f t="shared" si="25"/>
        <v>187.94361691492554</v>
      </c>
      <c r="D42" s="1480">
        <f t="shared" si="9"/>
        <v>187.94361691492554</v>
      </c>
      <c r="E42" s="1480">
        <f t="shared" ref="E42:F44" si="26">E41/(1+P41)</f>
        <v>281.70386977288234</v>
      </c>
      <c r="F42" s="1480">
        <f t="shared" si="26"/>
        <v>168.80211511083994</v>
      </c>
      <c r="G42" s="3276">
        <v>2008</v>
      </c>
      <c r="H42" s="1490">
        <v>3</v>
      </c>
      <c r="I42" s="1490">
        <v>1.96</v>
      </c>
      <c r="J42" s="1490">
        <v>2.36</v>
      </c>
      <c r="K42" s="1490">
        <v>1.82</v>
      </c>
      <c r="L42" s="1491">
        <v>2.2200000000000002</v>
      </c>
      <c r="N42" s="1475">
        <f t="shared" si="11"/>
        <v>1.9599999999999999E-2</v>
      </c>
      <c r="O42" s="1476">
        <f t="shared" si="11"/>
        <v>2.3599999999999999E-2</v>
      </c>
      <c r="P42" s="1476">
        <f t="shared" si="11"/>
        <v>1.8200000000000001E-2</v>
      </c>
      <c r="Q42" s="1476">
        <f t="shared" si="11"/>
        <v>2.2200000000000001E-2</v>
      </c>
      <c r="R42" s="1477"/>
      <c r="S42" s="1475"/>
      <c r="T42" s="1476"/>
      <c r="U42" s="1476"/>
      <c r="V42" s="1476"/>
    </row>
    <row r="43" spans="1:26">
      <c r="A43" s="1463" t="s">
        <v>1186</v>
      </c>
      <c r="B43" s="1480">
        <f t="shared" si="25"/>
        <v>206.31694671589116</v>
      </c>
      <c r="C43" s="1480">
        <f t="shared" si="25"/>
        <v>183.61041121036101</v>
      </c>
      <c r="D43" s="1480">
        <f t="shared" si="9"/>
        <v>183.61041121036101</v>
      </c>
      <c r="E43" s="1480">
        <f t="shared" si="26"/>
        <v>276.66850301795557</v>
      </c>
      <c r="F43" s="1480">
        <f t="shared" si="26"/>
        <v>165.1360938278614</v>
      </c>
      <c r="G43" s="3276">
        <v>2008</v>
      </c>
      <c r="H43" s="1467">
        <v>2</v>
      </c>
      <c r="I43" s="1467">
        <v>4.93</v>
      </c>
      <c r="J43" s="1467">
        <v>7.38</v>
      </c>
      <c r="K43" s="1467">
        <v>3.98</v>
      </c>
      <c r="L43" s="1482">
        <v>6.86</v>
      </c>
      <c r="N43" s="1475">
        <f t="shared" si="11"/>
        <v>4.9299999999999997E-2</v>
      </c>
      <c r="O43" s="1476">
        <f t="shared" si="11"/>
        <v>7.3800000000000004E-2</v>
      </c>
      <c r="P43" s="1476">
        <f t="shared" si="11"/>
        <v>3.9800000000000002E-2</v>
      </c>
      <c r="Q43" s="1476">
        <f t="shared" si="11"/>
        <v>6.8600000000000008E-2</v>
      </c>
      <c r="R43" s="1477"/>
      <c r="S43" s="1475"/>
      <c r="T43" s="1476"/>
      <c r="U43" s="1476"/>
      <c r="V43" s="1476"/>
    </row>
    <row r="44" spans="1:26" s="1520" customFormat="1" ht="13.5" thickBot="1">
      <c r="A44" s="1463" t="s">
        <v>1187</v>
      </c>
      <c r="B44" s="1517">
        <f t="shared" si="25"/>
        <v>196.62341248059772</v>
      </c>
      <c r="C44" s="1517">
        <f t="shared" si="25"/>
        <v>170.99125648199012</v>
      </c>
      <c r="D44" s="1517">
        <f t="shared" si="9"/>
        <v>170.99125648199012</v>
      </c>
      <c r="E44" s="1517">
        <f t="shared" si="26"/>
        <v>266.07857570490052</v>
      </c>
      <c r="F44" s="1517">
        <f t="shared" si="26"/>
        <v>154.53499328828505</v>
      </c>
      <c r="G44" s="3277">
        <v>2008</v>
      </c>
      <c r="H44" s="1518">
        <v>1</v>
      </c>
      <c r="I44" s="1518">
        <v>4.1399999999999997</v>
      </c>
      <c r="J44" s="1518">
        <v>3.45</v>
      </c>
      <c r="K44" s="1518">
        <v>4.95</v>
      </c>
      <c r="L44" s="1519">
        <v>4.82</v>
      </c>
      <c r="N44" s="1521">
        <f t="shared" si="11"/>
        <v>4.1399999999999999E-2</v>
      </c>
      <c r="O44" s="1522">
        <f t="shared" si="11"/>
        <v>3.4500000000000003E-2</v>
      </c>
      <c r="P44" s="1522">
        <f t="shared" si="11"/>
        <v>4.9500000000000002E-2</v>
      </c>
      <c r="Q44" s="1522">
        <f t="shared" si="11"/>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9"/>
        <v>165</v>
      </c>
      <c r="E45" s="1472">
        <v>254</v>
      </c>
      <c r="F45" s="1473">
        <v>148</v>
      </c>
      <c r="G45" s="3275">
        <v>2007</v>
      </c>
      <c r="H45" s="1525">
        <v>4</v>
      </c>
      <c r="I45" s="1525">
        <v>5.51</v>
      </c>
      <c r="J45" s="1525">
        <v>4.8899999999999997</v>
      </c>
      <c r="K45" s="1525">
        <v>6.43</v>
      </c>
      <c r="L45" s="1526">
        <v>5.36</v>
      </c>
      <c r="N45" s="1527">
        <f t="shared" ref="N45:O48" si="27">B45/B46-1</f>
        <v>4.1339718365245526E-2</v>
      </c>
      <c r="O45" s="1528">
        <f t="shared" si="27"/>
        <v>4.0324492593776018E-2</v>
      </c>
      <c r="P45" s="1528">
        <f t="shared" ref="P45:Q48" si="28">E45/E46-1</f>
        <v>6.1625555347990968E-2</v>
      </c>
      <c r="Q45" s="1528">
        <f t="shared" si="28"/>
        <v>4.6757569250590603E-2</v>
      </c>
      <c r="R45" s="1477"/>
      <c r="S45" s="1478"/>
      <c r="T45" s="1479"/>
      <c r="U45" s="1479"/>
      <c r="V45" s="1479"/>
      <c r="X45" s="1479"/>
      <c r="Y45" s="1479"/>
      <c r="Z45" s="1479"/>
    </row>
    <row r="46" spans="1:26">
      <c r="A46" s="1463" t="s">
        <v>1189</v>
      </c>
      <c r="B46" s="1480">
        <f t="shared" ref="B46:C48" si="29">B47+(B$45-B$49)*I46/SUM(I$45:I$48)</f>
        <v>180.5366651097618</v>
      </c>
      <c r="C46" s="1480">
        <f t="shared" si="29"/>
        <v>158.60435967302453</v>
      </c>
      <c r="D46" s="1480">
        <f t="shared" si="9"/>
        <v>158.60435967302453</v>
      </c>
      <c r="E46" s="1480">
        <f t="shared" ref="E46:F48" si="30">E47+(E$45-E$49)*K46/SUM(K$45:K$48)</f>
        <v>239.25573260785075</v>
      </c>
      <c r="F46" s="1480">
        <f t="shared" si="30"/>
        <v>141.38899430740037</v>
      </c>
      <c r="G46" s="3276">
        <v>2007</v>
      </c>
      <c r="H46" s="1490">
        <v>3</v>
      </c>
      <c r="I46" s="1490">
        <v>8.65</v>
      </c>
      <c r="J46" s="1490">
        <v>8.06</v>
      </c>
      <c r="K46" s="1490">
        <v>9.94</v>
      </c>
      <c r="L46" s="1491">
        <v>5.8</v>
      </c>
      <c r="N46" s="1527">
        <f t="shared" si="27"/>
        <v>6.940217571740015E-2</v>
      </c>
      <c r="O46" s="1528">
        <f t="shared" si="27"/>
        <v>7.1197482471153428E-2</v>
      </c>
      <c r="P46" s="1528">
        <f t="shared" si="28"/>
        <v>0.10529679922579582</v>
      </c>
      <c r="Q46" s="1528">
        <f t="shared" si="28"/>
        <v>5.3292245059512133E-2</v>
      </c>
      <c r="R46" s="1477"/>
      <c r="S46" s="1475"/>
      <c r="T46" s="1476"/>
      <c r="U46" s="1476"/>
      <c r="V46" s="1476"/>
      <c r="X46" s="1529"/>
      <c r="Y46" s="1529"/>
      <c r="Z46" s="1529"/>
    </row>
    <row r="47" spans="1:26">
      <c r="A47" s="1463" t="s">
        <v>1190</v>
      </c>
      <c r="B47" s="1480">
        <f t="shared" si="29"/>
        <v>168.82017748715555</v>
      </c>
      <c r="C47" s="1480">
        <f t="shared" si="29"/>
        <v>148.06267029972753</v>
      </c>
      <c r="D47" s="1480">
        <f t="shared" si="9"/>
        <v>148.06267029972753</v>
      </c>
      <c r="E47" s="1480">
        <f t="shared" si="30"/>
        <v>216.46288379323747</v>
      </c>
      <c r="F47" s="1480">
        <f t="shared" si="30"/>
        <v>134.23529411764704</v>
      </c>
      <c r="G47" s="3276">
        <v>2007</v>
      </c>
      <c r="H47" s="1467">
        <v>2</v>
      </c>
      <c r="I47" s="1467">
        <v>3.67</v>
      </c>
      <c r="J47" s="1467">
        <v>2.3199999999999998</v>
      </c>
      <c r="K47" s="1467">
        <v>5.0199999999999996</v>
      </c>
      <c r="L47" s="1482">
        <v>6.71</v>
      </c>
      <c r="N47" s="1527">
        <f t="shared" si="27"/>
        <v>3.0339138143848032E-2</v>
      </c>
      <c r="O47" s="1528">
        <f t="shared" si="27"/>
        <v>2.0922341588790472E-2</v>
      </c>
      <c r="P47" s="1528">
        <f t="shared" si="28"/>
        <v>5.6164796592717003E-2</v>
      </c>
      <c r="Q47" s="1528">
        <f t="shared" si="28"/>
        <v>6.5704536723887319E-2</v>
      </c>
      <c r="R47" s="1477"/>
      <c r="S47" s="1475"/>
      <c r="T47" s="1476"/>
      <c r="U47" s="1476"/>
      <c r="V47" s="1476"/>
      <c r="X47" s="1529"/>
      <c r="Y47" s="1529"/>
      <c r="Z47" s="1529"/>
    </row>
    <row r="48" spans="1:26">
      <c r="A48" s="1463" t="s">
        <v>1191</v>
      </c>
      <c r="B48" s="1480">
        <f t="shared" si="29"/>
        <v>163.84913591779542</v>
      </c>
      <c r="C48" s="1480">
        <f t="shared" si="29"/>
        <v>145.0283378746594</v>
      </c>
      <c r="D48" s="1480">
        <f t="shared" si="9"/>
        <v>145.0283378746594</v>
      </c>
      <c r="E48" s="1480">
        <f t="shared" si="30"/>
        <v>204.95180722891567</v>
      </c>
      <c r="F48" s="1480">
        <f t="shared" si="30"/>
        <v>125.95920303605313</v>
      </c>
      <c r="G48" s="3277">
        <v>2007</v>
      </c>
      <c r="H48" s="1466">
        <v>1</v>
      </c>
      <c r="I48" s="1466">
        <v>3.58</v>
      </c>
      <c r="J48" s="1466">
        <v>3.08</v>
      </c>
      <c r="K48" s="1466">
        <v>4.34</v>
      </c>
      <c r="L48" s="1481">
        <v>3.21</v>
      </c>
      <c r="N48" s="1530">
        <f t="shared" si="27"/>
        <v>3.0497710174814063E-2</v>
      </c>
      <c r="O48" s="1531">
        <f t="shared" si="27"/>
        <v>2.8569772160704998E-2</v>
      </c>
      <c r="P48" s="1531">
        <f t="shared" si="28"/>
        <v>5.1034908866234296E-2</v>
      </c>
      <c r="Q48" s="1531">
        <f t="shared" si="28"/>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9"/>
        <v>141</v>
      </c>
      <c r="E49" s="1493">
        <v>195</v>
      </c>
      <c r="F49" s="1494">
        <v>122</v>
      </c>
      <c r="G49" s="3275">
        <v>2006</v>
      </c>
      <c r="H49" s="1485">
        <v>4</v>
      </c>
      <c r="I49" s="1485">
        <v>3.79</v>
      </c>
      <c r="J49" s="1485">
        <v>2.21</v>
      </c>
      <c r="K49" s="1485">
        <v>5.65</v>
      </c>
      <c r="L49" s="1486">
        <v>5.41</v>
      </c>
      <c r="N49" s="1527">
        <f t="shared" ref="N49:O52" si="31">I49/SUM(I$49:I$52)*(B$49/B$53-1)</f>
        <v>7.245466462748526E-2</v>
      </c>
      <c r="O49" s="1528">
        <f t="shared" si="31"/>
        <v>2.3237230038062766E-2</v>
      </c>
      <c r="P49" s="1528">
        <f t="shared" ref="P49:Q52" si="32">K49/SUM(K$49:K$52)*(E$49/E$53-1)</f>
        <v>0.16146893866323722</v>
      </c>
      <c r="Q49" s="1528">
        <f t="shared" si="32"/>
        <v>5.0755230321793784E-2</v>
      </c>
      <c r="R49" s="1477"/>
      <c r="S49" s="1478"/>
      <c r="T49" s="1479"/>
      <c r="U49" s="1479"/>
      <c r="V49" s="1479"/>
      <c r="X49" s="1529"/>
      <c r="Y49" s="1529"/>
      <c r="Z49" s="1529"/>
    </row>
    <row r="50" spans="1:26">
      <c r="A50" s="1463" t="s">
        <v>1193</v>
      </c>
      <c r="B50" s="1480">
        <f t="shared" ref="B50:C52" si="33">B51+(B$49-B$53)*I50/SUM(I$49:I$52)</f>
        <v>149.00125628140702</v>
      </c>
      <c r="C50" s="1480">
        <f t="shared" si="33"/>
        <v>137.95592286501378</v>
      </c>
      <c r="D50" s="1480">
        <f t="shared" si="9"/>
        <v>137.95592286501378</v>
      </c>
      <c r="E50" s="1480">
        <f t="shared" ref="E50:F52" si="34">E51+(E$49-E$53)*K50/SUM(K$49:K$52)</f>
        <v>169.97231450719823</v>
      </c>
      <c r="F50" s="1480">
        <f t="shared" si="34"/>
        <v>116.21390374331551</v>
      </c>
      <c r="G50" s="3276">
        <v>2006</v>
      </c>
      <c r="H50" s="1490">
        <v>3</v>
      </c>
      <c r="I50" s="1490">
        <v>0.92</v>
      </c>
      <c r="J50" s="1490">
        <v>1.08</v>
      </c>
      <c r="K50" s="1490">
        <v>0.73</v>
      </c>
      <c r="L50" s="1491">
        <v>1.08</v>
      </c>
      <c r="N50" s="1527">
        <f t="shared" si="31"/>
        <v>1.7587939698492462E-2</v>
      </c>
      <c r="O50" s="1528">
        <f t="shared" si="31"/>
        <v>1.1355750425840628E-2</v>
      </c>
      <c r="P50" s="1528">
        <f t="shared" si="32"/>
        <v>2.0862358446754544E-2</v>
      </c>
      <c r="Q50" s="1528">
        <f t="shared" si="32"/>
        <v>1.0132282578103011E-2</v>
      </c>
      <c r="R50" s="1477"/>
      <c r="S50" s="1475"/>
      <c r="T50" s="1476"/>
      <c r="U50" s="1476"/>
      <c r="V50" s="1476"/>
      <c r="X50" s="1529"/>
      <c r="Y50" s="1529"/>
      <c r="Z50" s="1529"/>
    </row>
    <row r="51" spans="1:26">
      <c r="A51" s="1463" t="s">
        <v>1194</v>
      </c>
      <c r="B51" s="1480">
        <f t="shared" si="33"/>
        <v>146.57412060301507</v>
      </c>
      <c r="C51" s="1480">
        <f t="shared" si="33"/>
        <v>136.46831955922866</v>
      </c>
      <c r="D51" s="1480">
        <f t="shared" si="9"/>
        <v>136.46831955922866</v>
      </c>
      <c r="E51" s="1480">
        <f t="shared" si="34"/>
        <v>166.73864894795128</v>
      </c>
      <c r="F51" s="1480">
        <f t="shared" si="34"/>
        <v>115.05882352941177</v>
      </c>
      <c r="G51" s="3276">
        <v>2006</v>
      </c>
      <c r="H51" s="1467">
        <v>2</v>
      </c>
      <c r="I51" s="1467">
        <v>0.96</v>
      </c>
      <c r="J51" s="1467">
        <v>0.25</v>
      </c>
      <c r="K51" s="1467">
        <v>1.9</v>
      </c>
      <c r="L51" s="1482">
        <v>0.95</v>
      </c>
      <c r="N51" s="1527">
        <f t="shared" si="31"/>
        <v>1.8352632728861701E-2</v>
      </c>
      <c r="O51" s="1528">
        <f t="shared" si="31"/>
        <v>2.6286459319075526E-3</v>
      </c>
      <c r="P51" s="1528">
        <f t="shared" si="32"/>
        <v>5.4299289107991269E-2</v>
      </c>
      <c r="Q51" s="1528">
        <f t="shared" si="32"/>
        <v>8.9126559714794995E-3</v>
      </c>
      <c r="R51" s="1477"/>
      <c r="S51" s="1475"/>
      <c r="T51" s="1476"/>
      <c r="U51" s="1476"/>
      <c r="V51" s="1476"/>
      <c r="X51" s="1529"/>
      <c r="Y51" s="1529"/>
      <c r="Z51" s="1529"/>
    </row>
    <row r="52" spans="1:26">
      <c r="A52" s="1463" t="s">
        <v>1195</v>
      </c>
      <c r="B52" s="1480">
        <f t="shared" si="33"/>
        <v>144.04145728643215</v>
      </c>
      <c r="C52" s="1480">
        <f t="shared" si="33"/>
        <v>136.12396694214877</v>
      </c>
      <c r="D52" s="1480">
        <f t="shared" si="9"/>
        <v>136.12396694214877</v>
      </c>
      <c r="E52" s="1480">
        <f t="shared" si="34"/>
        <v>158.32225913621264</v>
      </c>
      <c r="F52" s="1480">
        <f t="shared" si="34"/>
        <v>114.04278074866311</v>
      </c>
      <c r="G52" s="3277">
        <v>2006</v>
      </c>
      <c r="H52" s="1466">
        <v>1</v>
      </c>
      <c r="I52" s="1466">
        <v>2.29</v>
      </c>
      <c r="J52" s="1466">
        <v>3.72</v>
      </c>
      <c r="K52" s="1466">
        <v>0.75</v>
      </c>
      <c r="L52" s="1481">
        <v>0.04</v>
      </c>
      <c r="N52" s="1530">
        <f t="shared" si="31"/>
        <v>4.3778675988638847E-2</v>
      </c>
      <c r="O52" s="1531">
        <f t="shared" si="31"/>
        <v>3.9114251466784385E-2</v>
      </c>
      <c r="P52" s="1531">
        <f t="shared" si="32"/>
        <v>2.1433929911049188E-2</v>
      </c>
      <c r="Q52" s="1531">
        <f t="shared" si="32"/>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9"/>
        <v>131</v>
      </c>
      <c r="E53" s="1493">
        <v>155</v>
      </c>
      <c r="F53" s="1494">
        <v>114</v>
      </c>
      <c r="G53" s="3275">
        <v>2005</v>
      </c>
      <c r="H53" s="1485">
        <v>4</v>
      </c>
      <c r="I53" s="1485">
        <v>3.29</v>
      </c>
      <c r="J53" s="1485">
        <v>1.44</v>
      </c>
      <c r="K53" s="1485">
        <v>0.66</v>
      </c>
      <c r="L53" s="1486">
        <v>7.78</v>
      </c>
      <c r="N53" s="1527">
        <f t="shared" ref="N53:O56" si="35">I53/SUM(I$53:I$56)*(B$53/B$57-1)</f>
        <v>9.9404603216919935E-2</v>
      </c>
      <c r="O53" s="1528">
        <f t="shared" si="35"/>
        <v>4.7636550760861554E-2</v>
      </c>
      <c r="P53" s="1528">
        <f t="shared" ref="P53:Q56" si="36">K53/SUM(K$53:K$56)*(E$53/E$57-1)</f>
        <v>8.3756345177664976E-2</v>
      </c>
      <c r="Q53" s="1528">
        <f t="shared" si="36"/>
        <v>5.2148766661559584E-2</v>
      </c>
      <c r="R53" s="1477"/>
      <c r="S53" s="1478"/>
      <c r="T53" s="1479"/>
      <c r="U53" s="1479"/>
      <c r="V53" s="1479"/>
      <c r="X53" s="1529"/>
      <c r="Y53" s="1529"/>
      <c r="Z53" s="1529"/>
    </row>
    <row r="54" spans="1:26">
      <c r="A54" s="1463" t="s">
        <v>1197</v>
      </c>
      <c r="B54" s="1480">
        <f t="shared" ref="B54:C56" si="37">B55+(B$53-B$57)*I54/SUM(I$53:I$56)</f>
        <v>125.9720430107527</v>
      </c>
      <c r="C54" s="1480">
        <f t="shared" si="37"/>
        <v>125.1883408071749</v>
      </c>
      <c r="D54" s="1480">
        <f t="shared" si="9"/>
        <v>125.1883408071749</v>
      </c>
      <c r="E54" s="1480">
        <f t="shared" ref="E54:F56" si="38">E55+(E$53-E$57)*K54/SUM(K$53:K$56)</f>
        <v>144.61421319796952</v>
      </c>
      <c r="F54" s="1480">
        <f t="shared" si="38"/>
        <v>108.42008196721311</v>
      </c>
      <c r="G54" s="3276">
        <v>2005</v>
      </c>
      <c r="H54" s="1490">
        <v>3</v>
      </c>
      <c r="I54" s="1490">
        <v>0.46</v>
      </c>
      <c r="J54" s="1490">
        <v>0.32</v>
      </c>
      <c r="K54" s="1490">
        <v>0.42</v>
      </c>
      <c r="L54" s="1491">
        <v>0.64</v>
      </c>
      <c r="N54" s="1527">
        <f t="shared" si="35"/>
        <v>1.3898515951301874E-2</v>
      </c>
      <c r="O54" s="1528">
        <f t="shared" si="35"/>
        <v>1.0585900169080346E-2</v>
      </c>
      <c r="P54" s="1528">
        <f t="shared" si="36"/>
        <v>5.3299492385786795E-2</v>
      </c>
      <c r="Q54" s="1528">
        <f t="shared" si="36"/>
        <v>4.2898728359123568E-3</v>
      </c>
      <c r="R54" s="1477"/>
      <c r="S54" s="1475"/>
      <c r="T54" s="1476"/>
      <c r="U54" s="1476"/>
      <c r="V54" s="1476"/>
      <c r="X54" s="1529"/>
      <c r="Y54" s="1529"/>
      <c r="Z54" s="1529"/>
    </row>
    <row r="55" spans="1:26">
      <c r="A55" s="1463" t="s">
        <v>1198</v>
      </c>
      <c r="B55" s="1480">
        <f t="shared" si="37"/>
        <v>124.29032258064517</v>
      </c>
      <c r="C55" s="1480">
        <f t="shared" si="37"/>
        <v>123.8968609865471</v>
      </c>
      <c r="D55" s="1480">
        <f t="shared" si="9"/>
        <v>123.8968609865471</v>
      </c>
      <c r="E55" s="1480">
        <f t="shared" si="38"/>
        <v>138.00507614213197</v>
      </c>
      <c r="F55" s="1480">
        <f t="shared" si="38"/>
        <v>107.96106557377048</v>
      </c>
      <c r="G55" s="3276">
        <v>2005</v>
      </c>
      <c r="H55" s="1467">
        <v>2</v>
      </c>
      <c r="I55" s="1467">
        <v>0.47</v>
      </c>
      <c r="J55" s="1467">
        <v>0.1</v>
      </c>
      <c r="K55" s="1467">
        <v>0.52</v>
      </c>
      <c r="L55" s="1482">
        <v>0.79</v>
      </c>
      <c r="N55" s="1527">
        <f t="shared" si="35"/>
        <v>1.420065760241713E-2</v>
      </c>
      <c r="O55" s="1528">
        <f t="shared" si="35"/>
        <v>3.3080938028376083E-3</v>
      </c>
      <c r="P55" s="1528">
        <f t="shared" si="36"/>
        <v>6.598984771573603E-2</v>
      </c>
      <c r="Q55" s="1528">
        <f t="shared" si="36"/>
        <v>5.2953117818293153E-3</v>
      </c>
      <c r="R55" s="1477"/>
      <c r="S55" s="1475"/>
      <c r="T55" s="1476"/>
      <c r="U55" s="1476"/>
      <c r="V55" s="1476"/>
      <c r="X55" s="1529"/>
      <c r="Y55" s="1529"/>
      <c r="Z55" s="1529"/>
    </row>
    <row r="56" spans="1:26">
      <c r="A56" s="1463" t="s">
        <v>1199</v>
      </c>
      <c r="B56" s="1480">
        <f t="shared" si="37"/>
        <v>122.57204301075269</v>
      </c>
      <c r="C56" s="1480">
        <f t="shared" si="37"/>
        <v>123.4932735426009</v>
      </c>
      <c r="D56" s="1480">
        <f t="shared" si="9"/>
        <v>123.4932735426009</v>
      </c>
      <c r="E56" s="1480">
        <f t="shared" si="38"/>
        <v>129.82233502538071</v>
      </c>
      <c r="F56" s="1480">
        <f t="shared" si="38"/>
        <v>107.39446721311475</v>
      </c>
      <c r="G56" s="3277">
        <v>2005</v>
      </c>
      <c r="H56" s="1466">
        <v>1</v>
      </c>
      <c r="I56" s="1466">
        <v>0.43</v>
      </c>
      <c r="J56" s="1466">
        <v>0.37</v>
      </c>
      <c r="K56" s="1466">
        <v>0.37</v>
      </c>
      <c r="L56" s="1481">
        <v>0.55000000000000004</v>
      </c>
      <c r="N56" s="1530">
        <f t="shared" si="35"/>
        <v>1.2992090997956099E-2</v>
      </c>
      <c r="O56" s="1531">
        <f t="shared" si="35"/>
        <v>1.2239947070499151E-2</v>
      </c>
      <c r="P56" s="1531">
        <f t="shared" si="36"/>
        <v>4.6954314720812178E-2</v>
      </c>
      <c r="Q56" s="1531">
        <f t="shared" si="36"/>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9"/>
        <v>122</v>
      </c>
      <c r="E57" s="1514">
        <v>124</v>
      </c>
      <c r="F57" s="1515">
        <v>107</v>
      </c>
      <c r="G57" s="3275">
        <v>2004</v>
      </c>
      <c r="H57" s="1485">
        <v>4</v>
      </c>
      <c r="I57" s="1485">
        <v>0.33</v>
      </c>
      <c r="J57" s="1485">
        <v>0.5</v>
      </c>
      <c r="K57" s="1485">
        <v>0.5</v>
      </c>
      <c r="L57" s="1486">
        <v>0</v>
      </c>
      <c r="N57" s="1527">
        <f t="shared" ref="N57:O60" si="39">I57/SUM(I$57:I$60)*(B$57/B$61-1)</f>
        <v>1.3391770148526898E-2</v>
      </c>
      <c r="O57" s="1528">
        <f t="shared" si="39"/>
        <v>1.063264221158958E-2</v>
      </c>
      <c r="P57" s="1528">
        <f t="shared" ref="P57:Q60" si="40">K57/SUM(K$57:K$60)*(E$57/E$61-1)</f>
        <v>2.2244466688911134E-2</v>
      </c>
      <c r="Q57" s="1528">
        <f t="shared" si="40"/>
        <v>0</v>
      </c>
      <c r="R57" s="1477"/>
      <c r="S57" s="1478"/>
      <c r="T57" s="1479"/>
      <c r="U57" s="1479"/>
      <c r="V57" s="1479"/>
      <c r="X57" s="1529"/>
      <c r="Y57" s="1529"/>
      <c r="Z57" s="1529"/>
    </row>
    <row r="58" spans="1:26">
      <c r="A58" s="1463" t="s">
        <v>1201</v>
      </c>
      <c r="B58" s="1480">
        <f t="shared" ref="B58:C60" si="41">B59+(B$57-B$61)*I58/SUM(I$57:I$60)</f>
        <v>119.51351351351352</v>
      </c>
      <c r="C58" s="1480">
        <f t="shared" si="41"/>
        <v>120.7878787878788</v>
      </c>
      <c r="D58" s="1480">
        <f t="shared" si="9"/>
        <v>120.7878787878788</v>
      </c>
      <c r="E58" s="1480">
        <f t="shared" ref="E58:F60" si="42">E59+(E$57-E$61)*K58/SUM(K$57:K$60)</f>
        <v>121.5975975975976</v>
      </c>
      <c r="F58" s="1480">
        <f t="shared" si="42"/>
        <v>107</v>
      </c>
      <c r="G58" s="3276">
        <v>2004</v>
      </c>
      <c r="H58" s="1490">
        <v>3</v>
      </c>
      <c r="I58" s="1490">
        <v>0.56000000000000005</v>
      </c>
      <c r="J58" s="1490">
        <v>0.8</v>
      </c>
      <c r="K58" s="1490">
        <v>0.83</v>
      </c>
      <c r="L58" s="1491">
        <v>0.06</v>
      </c>
      <c r="N58" s="1527">
        <f t="shared" si="39"/>
        <v>2.2725428130833527E-2</v>
      </c>
      <c r="O58" s="1528">
        <f t="shared" si="39"/>
        <v>1.7012227538543329E-2</v>
      </c>
      <c r="P58" s="1528">
        <f t="shared" si="40"/>
        <v>3.6925814703592477E-2</v>
      </c>
      <c r="Q58" s="1528">
        <f t="shared" si="40"/>
        <v>2.8846153846153744E-2</v>
      </c>
      <c r="R58" s="1477"/>
      <c r="S58" s="1475"/>
      <c r="T58" s="1476"/>
      <c r="U58" s="1476"/>
      <c r="V58" s="1476"/>
      <c r="X58" s="1529"/>
      <c r="Y58" s="1529"/>
      <c r="Z58" s="1529"/>
    </row>
    <row r="59" spans="1:26">
      <c r="A59" s="1463" t="s">
        <v>1202</v>
      </c>
      <c r="B59" s="1480">
        <f t="shared" si="41"/>
        <v>116.99099099099099</v>
      </c>
      <c r="C59" s="1480">
        <f t="shared" si="41"/>
        <v>118.84848484848486</v>
      </c>
      <c r="D59" s="1480">
        <f t="shared" si="9"/>
        <v>118.84848484848486</v>
      </c>
      <c r="E59" s="1480">
        <f t="shared" si="42"/>
        <v>117.60960960960961</v>
      </c>
      <c r="F59" s="1480">
        <f t="shared" si="42"/>
        <v>104</v>
      </c>
      <c r="G59" s="3276">
        <v>2004</v>
      </c>
      <c r="H59" s="1467">
        <v>2</v>
      </c>
      <c r="I59" s="1467">
        <v>1</v>
      </c>
      <c r="J59" s="1467">
        <v>1.5</v>
      </c>
      <c r="K59" s="1467">
        <v>1.5</v>
      </c>
      <c r="L59" s="1482">
        <v>0</v>
      </c>
      <c r="N59" s="1527">
        <f t="shared" si="39"/>
        <v>4.0581121662202721E-2</v>
      </c>
      <c r="O59" s="1528">
        <f t="shared" si="39"/>
        <v>3.1897926634768738E-2</v>
      </c>
      <c r="P59" s="1528">
        <f t="shared" si="40"/>
        <v>6.6733400066733395E-2</v>
      </c>
      <c r="Q59" s="1528">
        <f t="shared" si="40"/>
        <v>0</v>
      </c>
      <c r="R59" s="1477"/>
      <c r="S59" s="1475"/>
      <c r="T59" s="1476"/>
      <c r="U59" s="1476"/>
      <c r="V59" s="1476"/>
      <c r="X59" s="1529"/>
      <c r="Y59" s="1529"/>
      <c r="Z59" s="1529"/>
    </row>
    <row r="60" spans="1:26" s="1520" customFormat="1" ht="13.5" thickBot="1">
      <c r="A60" s="1463" t="s">
        <v>1203</v>
      </c>
      <c r="B60" s="1517">
        <f t="shared" si="41"/>
        <v>112.48648648648648</v>
      </c>
      <c r="C60" s="1517">
        <f t="shared" si="41"/>
        <v>115.21212121212122</v>
      </c>
      <c r="D60" s="1517">
        <f t="shared" si="9"/>
        <v>115.21212121212122</v>
      </c>
      <c r="E60" s="1517">
        <f t="shared" si="42"/>
        <v>110.4024024024024</v>
      </c>
      <c r="F60" s="1517">
        <f t="shared" si="42"/>
        <v>104</v>
      </c>
      <c r="G60" s="3277">
        <v>2004</v>
      </c>
      <c r="H60" s="1518">
        <v>1</v>
      </c>
      <c r="I60" s="1518">
        <v>0.33</v>
      </c>
      <c r="J60" s="1518">
        <v>0.5</v>
      </c>
      <c r="K60" s="1518">
        <v>0.5</v>
      </c>
      <c r="L60" s="1519">
        <v>0</v>
      </c>
      <c r="N60" s="1532">
        <f t="shared" si="39"/>
        <v>1.3391770148526898E-2</v>
      </c>
      <c r="O60" s="1533">
        <f t="shared" si="39"/>
        <v>1.063264221158958E-2</v>
      </c>
      <c r="P60" s="1533">
        <f t="shared" si="40"/>
        <v>2.2244466688911134E-2</v>
      </c>
      <c r="Q60" s="1533">
        <f t="shared" si="40"/>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9"/>
        <v>114</v>
      </c>
      <c r="E61" s="1535">
        <v>108</v>
      </c>
      <c r="F61" s="1536">
        <v>104</v>
      </c>
      <c r="G61" s="3275">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43">B63+(B$61-B$65)/4</f>
        <v>109.75</v>
      </c>
      <c r="C62" s="1539">
        <f t="shared" si="43"/>
        <v>112.25</v>
      </c>
      <c r="D62" s="1539">
        <f t="shared" si="9"/>
        <v>112.25</v>
      </c>
      <c r="E62" s="1539">
        <f t="shared" ref="E62:F64" si="44">E63+(E$61-E$65)/4</f>
        <v>107.25</v>
      </c>
      <c r="F62" s="1539">
        <f t="shared" si="44"/>
        <v>103.5</v>
      </c>
      <c r="G62" s="3276">
        <v>2003</v>
      </c>
      <c r="H62" s="1490">
        <v>3</v>
      </c>
      <c r="I62" s="1537"/>
      <c r="J62" s="1537"/>
      <c r="K62" s="1537"/>
      <c r="L62" s="1537"/>
      <c r="X62" s="1529"/>
      <c r="Y62" s="1529"/>
      <c r="Z62" s="1529"/>
    </row>
    <row r="63" spans="1:26">
      <c r="A63" s="1463" t="s">
        <v>1206</v>
      </c>
      <c r="B63" s="1539">
        <f t="shared" si="43"/>
        <v>108.5</v>
      </c>
      <c r="C63" s="1539">
        <f t="shared" si="43"/>
        <v>110.5</v>
      </c>
      <c r="D63" s="1539">
        <f t="shared" si="9"/>
        <v>110.5</v>
      </c>
      <c r="E63" s="1539">
        <f t="shared" si="44"/>
        <v>106.5</v>
      </c>
      <c r="F63" s="1539">
        <f t="shared" si="44"/>
        <v>103</v>
      </c>
      <c r="G63" s="3276">
        <v>2003</v>
      </c>
      <c r="H63" s="1467">
        <v>2</v>
      </c>
      <c r="I63" s="1537"/>
      <c r="J63" s="1537"/>
      <c r="K63" s="1537"/>
      <c r="L63" s="1537"/>
      <c r="X63" s="1529"/>
      <c r="Y63" s="1529"/>
      <c r="Z63" s="1529"/>
    </row>
    <row r="64" spans="1:26" ht="13.5" thickBot="1">
      <c r="A64" s="1463" t="s">
        <v>1207</v>
      </c>
      <c r="B64" s="1539">
        <f t="shared" si="43"/>
        <v>107.25</v>
      </c>
      <c r="C64" s="1539">
        <f t="shared" si="43"/>
        <v>108.75</v>
      </c>
      <c r="D64" s="1539">
        <f t="shared" si="9"/>
        <v>108.75</v>
      </c>
      <c r="E64" s="1539">
        <f t="shared" si="44"/>
        <v>105.75</v>
      </c>
      <c r="F64" s="1539">
        <f t="shared" si="44"/>
        <v>102.5</v>
      </c>
      <c r="G64" s="3277">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9"/>
        <v>107</v>
      </c>
      <c r="E65" s="1541">
        <v>105</v>
      </c>
      <c r="F65" s="1542">
        <v>102</v>
      </c>
      <c r="G65" s="3275">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45">B67+(B$65-B$69)/4</f>
        <v>105</v>
      </c>
      <c r="C66" s="1539">
        <f t="shared" si="45"/>
        <v>106</v>
      </c>
      <c r="D66" s="1539">
        <f t="shared" si="9"/>
        <v>106</v>
      </c>
      <c r="E66" s="1539">
        <f t="shared" ref="E66:F68" si="46">E67+(E$65-E$69)/4</f>
        <v>104.5</v>
      </c>
      <c r="F66" s="1539">
        <f t="shared" si="46"/>
        <v>101.5</v>
      </c>
      <c r="G66" s="3276">
        <v>2002</v>
      </c>
      <c r="H66" s="1490">
        <v>3</v>
      </c>
      <c r="I66" s="1537"/>
      <c r="J66" s="1537"/>
      <c r="K66" s="1537"/>
      <c r="L66" s="1537"/>
      <c r="X66" s="1529"/>
      <c r="Y66" s="1529"/>
      <c r="Z66" s="1529"/>
    </row>
    <row r="67" spans="1:26">
      <c r="A67" s="1463" t="s">
        <v>1210</v>
      </c>
      <c r="B67" s="1539">
        <f t="shared" si="45"/>
        <v>104</v>
      </c>
      <c r="C67" s="1539">
        <f t="shared" si="45"/>
        <v>105</v>
      </c>
      <c r="D67" s="1539">
        <f t="shared" si="9"/>
        <v>105</v>
      </c>
      <c r="E67" s="1539">
        <f t="shared" si="46"/>
        <v>104</v>
      </c>
      <c r="F67" s="1539">
        <f t="shared" si="46"/>
        <v>101</v>
      </c>
      <c r="G67" s="3276">
        <v>2002</v>
      </c>
      <c r="H67" s="1467">
        <v>2</v>
      </c>
      <c r="I67" s="1537"/>
      <c r="J67" s="1537"/>
      <c r="K67" s="1537"/>
      <c r="L67" s="1537"/>
      <c r="X67" s="1529"/>
      <c r="Y67" s="1529"/>
      <c r="Z67" s="1529"/>
    </row>
    <row r="68" spans="1:26" s="1501" customFormat="1" ht="13.5" thickBot="1">
      <c r="A68" s="1497" t="s">
        <v>1211</v>
      </c>
      <c r="B68" s="1543">
        <f t="shared" si="45"/>
        <v>103</v>
      </c>
      <c r="C68" s="1543">
        <f t="shared" si="45"/>
        <v>104</v>
      </c>
      <c r="D68" s="1543">
        <f t="shared" si="9"/>
        <v>104</v>
      </c>
      <c r="E68" s="1543">
        <f t="shared" si="46"/>
        <v>103.5</v>
      </c>
      <c r="F68" s="1543">
        <f t="shared" si="46"/>
        <v>100.5</v>
      </c>
      <c r="G68" s="3277">
        <v>2002</v>
      </c>
      <c r="H68" s="1544">
        <v>1</v>
      </c>
      <c r="I68" s="1545"/>
      <c r="J68" s="1545"/>
      <c r="K68" s="1545"/>
      <c r="L68" s="1545"/>
      <c r="N68" s="1546"/>
      <c r="S68" s="1546"/>
      <c r="X68" s="1547"/>
      <c r="Y68" s="1547"/>
      <c r="Z68" s="1547"/>
    </row>
    <row r="69" spans="1:26" ht="13.5" thickBot="1">
      <c r="B69" s="1548">
        <v>102</v>
      </c>
      <c r="C69" s="1549">
        <v>103</v>
      </c>
      <c r="D69" s="1549">
        <f t="shared" si="9"/>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29614</v>
      </c>
      <c r="C2" s="2" t="s">
        <v>133</v>
      </c>
      <c r="D2" s="244"/>
      <c r="E2" s="244"/>
      <c r="F2" s="244"/>
      <c r="G2" s="244"/>
    </row>
    <row r="3" spans="1:7" s="245" customFormat="1" ht="18" customHeight="1" thickBot="1">
      <c r="A3" s="248" t="s">
        <v>85</v>
      </c>
      <c r="B3" s="249">
        <f ca="1">ROUND(B2*10000/'数据-汇总表'!E3,0)</f>
        <v>3333408</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1" t="s">
        <v>791</v>
      </c>
      <c r="B6" s="260" t="s">
        <v>91</v>
      </c>
      <c r="C6" s="261">
        <v>20000</v>
      </c>
      <c r="D6" s="262"/>
      <c r="E6" s="263"/>
      <c r="F6" s="263"/>
      <c r="G6" s="264"/>
    </row>
    <row r="7" spans="1:7" s="259" customFormat="1" ht="13.5" customHeight="1">
      <c r="A7" s="951" t="s">
        <v>792</v>
      </c>
      <c r="B7" s="260" t="s">
        <v>57</v>
      </c>
      <c r="C7" s="265">
        <f>ROUND(C6*F7,0)</f>
        <v>610</v>
      </c>
      <c r="D7" s="265"/>
      <c r="E7" s="263"/>
      <c r="F7" s="266">
        <f>'数据-取费表'!B48+'数据-取费表'!B49</f>
        <v>3.0499999999999999E-2</v>
      </c>
      <c r="G7" s="264"/>
    </row>
    <row r="8" spans="1:7" s="268" customFormat="1">
      <c r="A8" s="951" t="s">
        <v>793</v>
      </c>
      <c r="B8" s="260" t="s">
        <v>92</v>
      </c>
      <c r="C8" s="265" t="str">
        <f>IF(G8="已包含在土地购买价格中","0",'数据-取费表'!B29)</f>
        <v>0</v>
      </c>
      <c r="D8" s="267"/>
      <c r="E8" s="265"/>
      <c r="F8" s="266"/>
      <c r="G8" s="1" t="s">
        <v>1148</v>
      </c>
    </row>
    <row r="9" spans="1:7" s="259" customFormat="1" ht="13.5" customHeight="1">
      <c r="A9" s="952" t="s">
        <v>800</v>
      </c>
      <c r="B9" s="269" t="s">
        <v>93</v>
      </c>
      <c r="C9" s="270">
        <f>ROUND(D9*E9/10000,0)</f>
        <v>2</v>
      </c>
      <c r="D9" s="1034">
        <f>'数据-汇总表'!E5</f>
        <v>88.84</v>
      </c>
      <c r="E9" s="270">
        <f>'数据-取费表'!B27</f>
        <v>200</v>
      </c>
      <c r="F9" s="266"/>
      <c r="G9" s="271"/>
    </row>
    <row r="10" spans="1:7" s="259" customFormat="1" ht="13.5" customHeight="1">
      <c r="A10" s="952" t="s">
        <v>801</v>
      </c>
      <c r="B10" s="269" t="s">
        <v>94</v>
      </c>
      <c r="C10" s="270">
        <f>ROUND(D10*E10/10000,0)</f>
        <v>0</v>
      </c>
      <c r="D10" s="1034">
        <f>'数据-汇总表'!E6</f>
        <v>0</v>
      </c>
      <c r="E10" s="270">
        <f>'数据-取费表'!B28</f>
        <v>0</v>
      </c>
      <c r="F10" s="266"/>
      <c r="G10" s="271"/>
    </row>
    <row r="11" spans="1:7" s="259" customFormat="1" ht="13.5" hidden="1" customHeight="1">
      <c r="A11" s="272" t="s">
        <v>7</v>
      </c>
      <c r="B11" s="260" t="s">
        <v>95</v>
      </c>
      <c r="C11" s="256"/>
      <c r="D11" s="1036"/>
      <c r="E11" s="263"/>
      <c r="F11" s="263"/>
      <c r="G11" s="264"/>
    </row>
    <row r="12" spans="1:7" s="259" customFormat="1" ht="13.5" hidden="1" customHeight="1">
      <c r="A12" s="272" t="s">
        <v>8</v>
      </c>
      <c r="B12" s="260" t="s">
        <v>96</v>
      </c>
      <c r="C12" s="256">
        <v>0</v>
      </c>
      <c r="D12" s="1036"/>
      <c r="E12" s="273"/>
      <c r="F12" s="266">
        <v>3.0499999999999999E-2</v>
      </c>
      <c r="G12" s="264"/>
    </row>
    <row r="13" spans="1:7" s="259" customFormat="1" ht="13.5" hidden="1" customHeight="1">
      <c r="A13" s="272" t="s">
        <v>9</v>
      </c>
      <c r="B13" s="260" t="s">
        <v>97</v>
      </c>
      <c r="C13" s="256"/>
      <c r="D13" s="1036"/>
      <c r="E13" s="263"/>
      <c r="F13" s="263"/>
      <c r="G13" s="264"/>
    </row>
    <row r="14" spans="1:7" s="259" customFormat="1" ht="13.5" hidden="1" customHeight="1">
      <c r="A14" s="272" t="s">
        <v>10</v>
      </c>
      <c r="B14" s="260" t="s">
        <v>92</v>
      </c>
      <c r="C14" s="256"/>
      <c r="D14" s="1036"/>
      <c r="E14" s="263"/>
      <c r="F14" s="263"/>
      <c r="G14" s="264" t="s">
        <v>98</v>
      </c>
    </row>
    <row r="15" spans="1:7" s="259" customFormat="1" ht="13.5" hidden="1" customHeight="1">
      <c r="A15" s="272" t="s">
        <v>11</v>
      </c>
      <c r="B15" s="260" t="s">
        <v>99</v>
      </c>
      <c r="C15" s="265"/>
      <c r="D15" s="1036"/>
      <c r="E15" s="263"/>
      <c r="F15" s="263"/>
      <c r="G15" s="264" t="s">
        <v>100</v>
      </c>
    </row>
    <row r="16" spans="1:7" s="259" customFormat="1" ht="13.5" hidden="1" customHeight="1">
      <c r="A16" s="272" t="s">
        <v>12</v>
      </c>
      <c r="B16" s="260" t="s">
        <v>92</v>
      </c>
      <c r="C16" s="265"/>
      <c r="D16" s="1036"/>
      <c r="E16" s="263"/>
      <c r="F16" s="263"/>
      <c r="G16" s="264"/>
    </row>
    <row r="17" spans="1:7" s="259" customFormat="1" ht="13.5" hidden="1" customHeight="1">
      <c r="A17" s="272" t="s">
        <v>13</v>
      </c>
      <c r="B17" s="260" t="s">
        <v>101</v>
      </c>
      <c r="C17" s="274"/>
      <c r="D17" s="1037"/>
      <c r="E17" s="274"/>
      <c r="F17" s="274"/>
      <c r="G17" s="264" t="s">
        <v>100</v>
      </c>
    </row>
    <row r="18" spans="1:7" s="259" customFormat="1" ht="13.5" hidden="1" customHeight="1">
      <c r="A18" s="272" t="s">
        <v>14</v>
      </c>
      <c r="B18" s="260" t="s">
        <v>102</v>
      </c>
      <c r="C18" s="265">
        <v>0</v>
      </c>
      <c r="D18" s="1036"/>
      <c r="E18" s="263"/>
      <c r="F18" s="266">
        <v>3.0499999999999999E-2</v>
      </c>
      <c r="G18" s="264" t="s">
        <v>103</v>
      </c>
    </row>
    <row r="19" spans="1:7" s="268" customFormat="1" ht="13.5" customHeight="1">
      <c r="A19" s="950" t="s">
        <v>1055</v>
      </c>
      <c r="B19" s="255" t="s">
        <v>111</v>
      </c>
      <c r="C19" s="256">
        <f>IF(G19="已包含在土地取得成本中","0",ROUND(D19*E19/10000,0))</f>
        <v>2</v>
      </c>
      <c r="D19" s="1038">
        <f>'数据-汇总表'!E3</f>
        <v>88.84</v>
      </c>
      <c r="E19" s="256">
        <f>'数据-取费表'!B31</f>
        <v>200</v>
      </c>
      <c r="F19" s="276"/>
      <c r="G19" s="1" t="s">
        <v>1074</v>
      </c>
    </row>
    <row r="20" spans="1:7" s="259" customFormat="1" ht="13.5" customHeight="1">
      <c r="A20" s="950" t="s">
        <v>1057</v>
      </c>
      <c r="B20" s="255" t="s">
        <v>104</v>
      </c>
      <c r="C20" s="277">
        <f>ROUND((C5+C19)*F20,0)</f>
        <v>412</v>
      </c>
      <c r="D20" s="277"/>
      <c r="E20" s="277"/>
      <c r="F20" s="278">
        <f>'数据-取费表'!B37</f>
        <v>0.02</v>
      </c>
      <c r="G20" s="1291" t="s">
        <v>1068</v>
      </c>
    </row>
    <row r="21" spans="1:7" s="259" customFormat="1" ht="13.5" customHeight="1">
      <c r="A21" s="950" t="s">
        <v>1059</v>
      </c>
      <c r="B21" s="255" t="s">
        <v>105</v>
      </c>
      <c r="C21" s="280">
        <f>F21</f>
        <v>0.02</v>
      </c>
      <c r="D21" s="281" t="s">
        <v>126</v>
      </c>
      <c r="E21" s="277"/>
      <c r="F21" s="278">
        <f>'数据-取费表'!B38</f>
        <v>0.02</v>
      </c>
      <c r="G21" s="279" t="s">
        <v>106</v>
      </c>
    </row>
    <row r="22" spans="1:7" s="259" customFormat="1" ht="13.5" customHeight="1">
      <c r="A22" s="950" t="s">
        <v>786</v>
      </c>
      <c r="B22" s="255" t="s">
        <v>107</v>
      </c>
      <c r="C22" s="1356">
        <f ca="1">ROUND(SUM(C23:C25),0)</f>
        <v>2024</v>
      </c>
      <c r="D22" s="280">
        <f ca="1">C26</f>
        <v>1E-3</v>
      </c>
      <c r="E22" s="281" t="s">
        <v>126</v>
      </c>
      <c r="F22" s="282">
        <f ca="1">'数据-取费表'!B40</f>
        <v>4.7500000000000001E-2</v>
      </c>
      <c r="G22" s="1291" t="str">
        <f>IF('数据-取费表'!B22&lt;=1,"单利计息","复利计息")</f>
        <v>复利计息</v>
      </c>
    </row>
    <row r="23" spans="1:7" s="259" customFormat="1" ht="13.5" customHeight="1">
      <c r="A23" s="953" t="s">
        <v>794</v>
      </c>
      <c r="B23" s="260" t="s">
        <v>1061</v>
      </c>
      <c r="C23" s="1357">
        <f ca="1">ROUND(IF('数据-取费表'!B22&lt;=1,C5*F22*'数据-取费表'!B23,C5*(POWER((1+F22),'数据-取费表'!B23)-1)),0)</f>
        <v>2004</v>
      </c>
      <c r="D23" s="283"/>
      <c r="E23" s="283"/>
      <c r="F23" s="284"/>
      <c r="G23" s="285" t="s">
        <v>108</v>
      </c>
    </row>
    <row r="24" spans="1:7" s="259" customFormat="1" ht="13.5" customHeight="1">
      <c r="A24" s="953" t="s">
        <v>792</v>
      </c>
      <c r="B24" s="260" t="s">
        <v>1056</v>
      </c>
      <c r="C24" s="1357">
        <f ca="1">ROUND(IF('数据-取费表'!B22&lt;=1,C19*F22*('数据-取费表'!B19/2+'数据-取费表'!B21),C19*(POWER((1+F22),('数据-取费表'!B19/2+'数据-取费表'!B21))-1)),0)</f>
        <v>0</v>
      </c>
      <c r="D24" s="283"/>
      <c r="E24" s="283"/>
      <c r="F24" s="284"/>
      <c r="G24" s="285" t="s">
        <v>109</v>
      </c>
    </row>
    <row r="25" spans="1:7" s="259" customFormat="1" ht="24">
      <c r="A25" s="953" t="s">
        <v>793</v>
      </c>
      <c r="B25" s="260" t="s">
        <v>1058</v>
      </c>
      <c r="C25" s="1357">
        <f ca="1">ROUND(IF('数据-取费表'!B22&lt;=1,C20*F22*'数据-取费表'!B23/2,C20*(POWER((1+F22),'数据-取费表'!B23/2)-1)),0)</f>
        <v>20</v>
      </c>
      <c r="D25" s="283"/>
      <c r="E25" s="286"/>
      <c r="F25" s="284"/>
      <c r="G25" s="287" t="s">
        <v>110</v>
      </c>
    </row>
    <row r="26" spans="1:7" s="259" customFormat="1">
      <c r="A26" s="953" t="s">
        <v>795</v>
      </c>
      <c r="B26" s="260" t="s">
        <v>1060</v>
      </c>
      <c r="C26" s="283">
        <f ca="1">ROUND(IF('数据-取费表'!B22&lt;=1,F21*F22*'数据-取费表'!B23/2,F21*(POWER((1+F22),'数据-取费表'!B23/2)-1)),4)</f>
        <v>1E-3</v>
      </c>
      <c r="D26" s="283"/>
      <c r="E26" s="286"/>
      <c r="F26" s="284"/>
      <c r="G26" s="288"/>
    </row>
    <row r="27" spans="1:7" s="259" customFormat="1" ht="24.75">
      <c r="A27" s="950" t="s">
        <v>787</v>
      </c>
      <c r="B27" s="289" t="s">
        <v>112</v>
      </c>
      <c r="C27" s="290">
        <f>C28</f>
        <v>4205</v>
      </c>
      <c r="D27" s="280">
        <f>C29</f>
        <v>4.0000000000000001E-3</v>
      </c>
      <c r="E27" s="281" t="s">
        <v>126</v>
      </c>
      <c r="F27" s="291">
        <f>'数据-取费表'!Q16</f>
        <v>0.2</v>
      </c>
      <c r="G27" s="292" t="s">
        <v>1069</v>
      </c>
    </row>
    <row r="28" spans="1:7" s="259" customFormat="1" ht="13.5" customHeight="1">
      <c r="A28" s="953" t="s">
        <v>794</v>
      </c>
      <c r="B28" s="293" t="s">
        <v>1062</v>
      </c>
      <c r="C28" s="294">
        <f>ROUND((C5+C19+C20)*F27*'数据-取费表'!B21/'数据-取费表'!B20,0)</f>
        <v>4205</v>
      </c>
      <c r="D28" s="280"/>
      <c r="E28" s="281"/>
      <c r="F28" s="291"/>
      <c r="G28" s="292"/>
    </row>
    <row r="29" spans="1:7" s="259" customFormat="1" ht="13.5" customHeight="1">
      <c r="A29" s="953" t="s">
        <v>792</v>
      </c>
      <c r="B29" s="293" t="s">
        <v>1063</v>
      </c>
      <c r="C29" s="283">
        <f>ROUND(C21*F27*'数据-取费表'!B21/'数据-取费表'!B20,4)</f>
        <v>4.0000000000000001E-3</v>
      </c>
      <c r="D29" s="280"/>
      <c r="E29" s="281"/>
      <c r="F29" s="291"/>
      <c r="G29" s="292"/>
    </row>
    <row r="30" spans="1:7" s="259" customFormat="1" ht="13.5" customHeight="1">
      <c r="A30" s="950"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29569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36</v>
      </c>
      <c r="D33" s="277"/>
      <c r="E33" s="257"/>
      <c r="F33" s="286"/>
      <c r="G33" s="279"/>
    </row>
    <row r="34" spans="1:7" s="303" customFormat="1" ht="13.5" customHeight="1">
      <c r="A34" s="953" t="s">
        <v>794</v>
      </c>
      <c r="B34" s="260" t="s">
        <v>59</v>
      </c>
      <c r="C34" s="265">
        <f>IF(F34=100%,'数据-取费表'!M16-SUMIF('数据-取费表'!C:C,"公共配套",'数据-取费表'!M:M),'数据-取费表'!O16-SUMIF('数据-取费表'!C:C,"公共配套",'数据-取费表'!O:O))</f>
        <v>31</v>
      </c>
      <c r="D34" s="262"/>
      <c r="E34" s="265"/>
      <c r="F34" s="302">
        <f>IF('数据-取费表'!B24=0,1,'数据-取费表'!N16)</f>
        <v>1</v>
      </c>
      <c r="G34" s="264" t="s">
        <v>116</v>
      </c>
    </row>
    <row r="35" spans="1:7" ht="13.5" customHeight="1">
      <c r="A35" s="953" t="s">
        <v>796</v>
      </c>
      <c r="B35" s="260" t="s">
        <v>60</v>
      </c>
      <c r="C35" s="265">
        <f>ROUND(C34*F35,0)</f>
        <v>1</v>
      </c>
      <c r="D35" s="265"/>
      <c r="E35" s="265"/>
      <c r="F35" s="304">
        <f>'数据-取费表'!B33</f>
        <v>0.03</v>
      </c>
      <c r="G35" s="264" t="s">
        <v>117</v>
      </c>
    </row>
    <row r="36" spans="1:7" ht="24">
      <c r="A36" s="953"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v>
      </c>
      <c r="D36" s="265"/>
      <c r="E36" s="265"/>
      <c r="F36" s="304">
        <f>'数据-取费表'!B34</f>
        <v>0.05</v>
      </c>
      <c r="G36" s="305" t="s">
        <v>62</v>
      </c>
    </row>
    <row r="37" spans="1:7" s="303" customFormat="1" ht="13.5" customHeight="1">
      <c r="A37" s="953" t="s">
        <v>798</v>
      </c>
      <c r="B37" s="260" t="s">
        <v>118</v>
      </c>
      <c r="C37" s="294">
        <f>ROUND(E37*D37*F34/10000,0)</f>
        <v>2</v>
      </c>
      <c r="D37" s="262">
        <f>'数据-汇总表'!E3</f>
        <v>88.84</v>
      </c>
      <c r="E37" s="294">
        <f>'数据-取费表'!B35</f>
        <v>200</v>
      </c>
      <c r="F37" s="304"/>
      <c r="G37" s="306" t="s">
        <v>119</v>
      </c>
    </row>
    <row r="38" spans="1:7" ht="13.5" customHeight="1">
      <c r="A38" s="953" t="s">
        <v>799</v>
      </c>
      <c r="B38" s="260" t="s">
        <v>63</v>
      </c>
      <c r="C38" s="265">
        <f>ROUND(C34*F38,0)</f>
        <v>0</v>
      </c>
      <c r="D38" s="265"/>
      <c r="E38" s="265"/>
      <c r="F38" s="304">
        <f>'数据-取费表'!B36</f>
        <v>1.4999999999999999E-2</v>
      </c>
      <c r="G38" s="264" t="s">
        <v>117</v>
      </c>
    </row>
    <row r="39" spans="1:7" s="259" customFormat="1" ht="13.5" customHeight="1">
      <c r="A39" s="950" t="s">
        <v>783</v>
      </c>
      <c r="B39" s="255" t="s">
        <v>104</v>
      </c>
      <c r="C39" s="277">
        <f>ROUND(C33*F20,0)</f>
        <v>1</v>
      </c>
      <c r="D39" s="277"/>
      <c r="E39" s="277"/>
      <c r="F39" s="278"/>
      <c r="G39" s="1291" t="s">
        <v>1071</v>
      </c>
    </row>
    <row r="40" spans="1:7" s="259" customFormat="1" ht="13.5" customHeight="1">
      <c r="A40" s="950" t="s">
        <v>784</v>
      </c>
      <c r="B40" s="255" t="s">
        <v>105</v>
      </c>
      <c r="C40" s="307">
        <f>F21</f>
        <v>0.02</v>
      </c>
      <c r="D40" s="281" t="s">
        <v>129</v>
      </c>
      <c r="E40" s="277"/>
      <c r="F40" s="278"/>
      <c r="G40" s="279" t="s">
        <v>120</v>
      </c>
    </row>
    <row r="41" spans="1:7" s="259" customFormat="1" ht="13.5" customHeight="1">
      <c r="A41" s="950" t="s">
        <v>785</v>
      </c>
      <c r="B41" s="255" t="s">
        <v>107</v>
      </c>
      <c r="C41" s="277">
        <f ca="1">ROUND(SUM(C42:C43),0)</f>
        <v>2</v>
      </c>
      <c r="D41" s="280">
        <f ca="1">C44</f>
        <v>1E-3</v>
      </c>
      <c r="E41" s="281" t="s">
        <v>129</v>
      </c>
      <c r="F41" s="282"/>
      <c r="G41" s="1291" t="str">
        <f>IF('数据-取费表'!B22&lt;=1,"单利计息","复利计息")</f>
        <v>复利计息</v>
      </c>
    </row>
    <row r="42" spans="1:7" ht="13.5" customHeight="1">
      <c r="A42" s="953" t="s">
        <v>794</v>
      </c>
      <c r="B42" s="260" t="s">
        <v>1061</v>
      </c>
      <c r="C42" s="283">
        <f ca="1">ROUND(IF('数据-取费表'!B22&lt;=1,C33*F22*'数据-取费表'!B21/2,C33*(POWER((1+F22),'数据-取费表'!B21/2)-1)),0)</f>
        <v>2</v>
      </c>
      <c r="D42" s="283"/>
      <c r="E42" s="283"/>
      <c r="F42" s="284"/>
      <c r="G42" s="3220" t="s">
        <v>121</v>
      </c>
    </row>
    <row r="43" spans="1:7" ht="13.5" customHeight="1">
      <c r="A43" s="953" t="s">
        <v>792</v>
      </c>
      <c r="B43" s="260" t="s">
        <v>1064</v>
      </c>
      <c r="C43" s="283">
        <f ca="1">ROUND(IF('数据-取费表'!B22&lt;=1,C39*F22*'数据-取费表'!B21/2,C39*(POWER((1+F22),'数据-取费表'!B21/2)-1)),0)</f>
        <v>0</v>
      </c>
      <c r="D43" s="283"/>
      <c r="E43" s="283"/>
      <c r="F43" s="284"/>
      <c r="G43" s="3221"/>
    </row>
    <row r="44" spans="1:7" ht="13.5" customHeight="1">
      <c r="A44" s="953" t="s">
        <v>793</v>
      </c>
      <c r="B44" s="260" t="s">
        <v>1066</v>
      </c>
      <c r="C44" s="283">
        <f ca="1">ROUND(IF('数据-取费表'!B22&lt;=1,C40*F22*'数据-取费表'!B21/2,C40*(POWER((1+F22),'数据-取费表'!B21/2)-1)),4)</f>
        <v>1E-3</v>
      </c>
      <c r="D44" s="283"/>
      <c r="E44" s="283"/>
      <c r="F44" s="284"/>
      <c r="G44" s="3222"/>
    </row>
    <row r="45" spans="1:7" s="259" customFormat="1" ht="13.5" customHeight="1">
      <c r="A45" s="950" t="s">
        <v>786</v>
      </c>
      <c r="B45" s="289" t="s">
        <v>112</v>
      </c>
      <c r="C45" s="290">
        <f>C46</f>
        <v>7</v>
      </c>
      <c r="D45" s="280">
        <f>C47</f>
        <v>4.0000000000000001E-3</v>
      </c>
      <c r="E45" s="281" t="s">
        <v>129</v>
      </c>
      <c r="F45" s="291"/>
      <c r="G45" s="292" t="s">
        <v>1072</v>
      </c>
    </row>
    <row r="46" spans="1:7" s="259" customFormat="1" ht="13.5" customHeight="1">
      <c r="A46" s="953" t="s">
        <v>794</v>
      </c>
      <c r="B46" s="293" t="s">
        <v>1065</v>
      </c>
      <c r="C46" s="294">
        <f>ROUND((C33+C39)*F27,0)</f>
        <v>7</v>
      </c>
      <c r="D46" s="308"/>
      <c r="E46" s="281"/>
      <c r="F46" s="291"/>
      <c r="G46" s="292"/>
    </row>
    <row r="47" spans="1:7" s="259" customFormat="1" ht="13.5" customHeight="1">
      <c r="A47" s="953" t="s">
        <v>792</v>
      </c>
      <c r="B47" s="293" t="s">
        <v>1067</v>
      </c>
      <c r="C47" s="283">
        <f>ROUND(C40*F27,4)</f>
        <v>4.0000000000000001E-3</v>
      </c>
      <c r="D47" s="308"/>
      <c r="E47" s="281"/>
      <c r="F47" s="291"/>
      <c r="G47" s="292"/>
    </row>
    <row r="48" spans="1:7" s="259" customFormat="1" ht="13.5" customHeight="1">
      <c r="A48" s="950" t="s">
        <v>787</v>
      </c>
      <c r="B48" s="255" t="s">
        <v>122</v>
      </c>
      <c r="C48" s="307">
        <f>F30</f>
        <v>5.6000000000000001E-2</v>
      </c>
      <c r="D48" s="281" t="s">
        <v>130</v>
      </c>
      <c r="E48" s="277"/>
      <c r="F48" s="282"/>
      <c r="G48" s="279" t="s">
        <v>123</v>
      </c>
    </row>
    <row r="49" spans="1:7" ht="16.5" customHeight="1">
      <c r="A49" s="950" t="s">
        <v>788</v>
      </c>
      <c r="B49" s="255" t="s">
        <v>131</v>
      </c>
      <c r="C49" s="277">
        <f ca="1">ROUND((C33+C39+C41+C45)/(1-C40-D41-D45-C48/(1+'数据-取费表'!B42)),0)</f>
        <v>50</v>
      </c>
      <c r="D49" s="277"/>
      <c r="E49" s="277"/>
      <c r="F49" s="309"/>
      <c r="G49" s="279" t="s">
        <v>1073</v>
      </c>
    </row>
    <row r="50" spans="1:7" s="303" customFormat="1" ht="24">
      <c r="A50" s="950" t="s">
        <v>789</v>
      </c>
      <c r="B50" s="255" t="s">
        <v>124</v>
      </c>
      <c r="C50" s="277"/>
      <c r="D50" s="277"/>
      <c r="E50" s="277"/>
      <c r="F50" s="309">
        <f>IF('数据-取费表'!B24=0,'数据-取费表'!N16,1)</f>
        <v>0.9</v>
      </c>
      <c r="G50" s="292" t="s">
        <v>125</v>
      </c>
    </row>
    <row r="51" spans="1:7" ht="16.5" customHeight="1">
      <c r="A51" s="950" t="s">
        <v>790</v>
      </c>
      <c r="B51" s="255" t="s">
        <v>132</v>
      </c>
      <c r="C51" s="277">
        <f ca="1">ROUND(C49*F50,0)</f>
        <v>45</v>
      </c>
      <c r="D51" s="277"/>
      <c r="E51" s="277"/>
      <c r="F51" s="309"/>
      <c r="G51" s="279" t="s">
        <v>64</v>
      </c>
    </row>
    <row r="52" spans="1:7" s="253" customFormat="1" ht="16.5" thickBot="1">
      <c r="A52" s="310" t="s">
        <v>65</v>
      </c>
      <c r="B52" s="311"/>
      <c r="C52" s="312">
        <f ca="1">C31+C51</f>
        <v>29614</v>
      </c>
      <c r="D52" s="311"/>
      <c r="E52" s="311"/>
      <c r="F52" s="311"/>
      <c r="G52" s="313"/>
    </row>
    <row r="55" spans="1:7" ht="15">
      <c r="B55" s="315" t="s">
        <v>66</v>
      </c>
      <c r="C55" s="316"/>
    </row>
    <row r="56" spans="1:7">
      <c r="B56" s="318" t="s">
        <v>67</v>
      </c>
      <c r="C56" s="319">
        <f ca="1">ROUND(C51/C52,3)</f>
        <v>2E-3</v>
      </c>
    </row>
    <row r="57" spans="1:7">
      <c r="B57" s="318" t="s">
        <v>68</v>
      </c>
      <c r="C57" s="320">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3" t="s">
        <v>156</v>
      </c>
      <c r="B1" s="3283"/>
      <c r="C1" s="3283"/>
      <c r="D1" s="3283"/>
      <c r="E1" s="3283"/>
      <c r="F1" s="328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4" t="s">
        <v>169</v>
      </c>
      <c r="B2" s="3284"/>
      <c r="C2" s="3284"/>
      <c r="D2" s="3284"/>
      <c r="E2" s="3284"/>
      <c r="F2" s="328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3" t="s">
        <v>871</v>
      </c>
      <c r="B1" s="328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43040</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X21" sqref="X21"/>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1643</v>
      </c>
      <c r="B2" s="2972" t="s">
        <v>1644</v>
      </c>
      <c r="C2" s="2972" t="s">
        <v>1645</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6" t="s">
        <v>1640</v>
      </c>
      <c r="E3" s="1046" t="s">
        <v>1646</v>
      </c>
      <c r="F3" s="1046" t="s">
        <v>1640</v>
      </c>
      <c r="G3" s="1046" t="s">
        <v>1641</v>
      </c>
      <c r="H3" s="1046" t="s">
        <v>1640</v>
      </c>
      <c r="I3" s="1046" t="s">
        <v>1641</v>
      </c>
    </row>
    <row r="4" spans="1:9" ht="45">
      <c r="A4" s="1976" t="str">
        <f>项目基本情况!S2</f>
        <v>北京市西城区真武庙路二条10号楼1层7单元102及103共计两套商业服务用房房地产</v>
      </c>
      <c r="B4" s="1046">
        <f>项目基本情况!C17</f>
        <v>88.84</v>
      </c>
      <c r="C4" s="1046">
        <f>项目基本情况!C18</f>
        <v>0</v>
      </c>
      <c r="D4" s="1046">
        <f ca="1">结果表!D118</f>
        <v>778</v>
      </c>
      <c r="E4" s="1046">
        <f ca="1">结果表!E118</f>
        <v>87573</v>
      </c>
      <c r="F4" s="1046">
        <f ca="1">结果表!F118</f>
        <v>223</v>
      </c>
      <c r="G4" s="1046">
        <f ca="1">结果表!G118</f>
        <v>25101</v>
      </c>
      <c r="H4" s="1046">
        <f ca="1">结果表!H118</f>
        <v>1001</v>
      </c>
      <c r="I4" s="1046">
        <f ca="1">结果表!I118</f>
        <v>112674</v>
      </c>
    </row>
    <row r="5" spans="1:9" ht="30" customHeight="1">
      <c r="A5" s="2973" t="s">
        <v>1642</v>
      </c>
      <c r="B5" s="2973"/>
      <c r="C5" s="2973"/>
      <c r="D5" s="2974" t="str">
        <f ca="1">结果表!D119</f>
        <v>柒佰柒拾捌万元整</v>
      </c>
      <c r="E5" s="2974"/>
      <c r="F5" s="2974" t="str">
        <f ca="1">结果表!F119</f>
        <v>贰佰贰拾叁万元整</v>
      </c>
      <c r="G5" s="2974"/>
      <c r="H5" s="2974" t="str">
        <f ca="1">结果表!H119</f>
        <v>壹仟零壹万元整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1642</v>
      </c>
      <c r="B7" s="2973"/>
      <c r="C7" s="2973"/>
      <c r="D7" s="2976" t="str">
        <f>结果表!D121</f>
        <v>零元整</v>
      </c>
      <c r="E7" s="2977"/>
      <c r="F7" s="2977"/>
      <c r="G7" s="2977"/>
      <c r="H7" s="2977"/>
      <c r="I7" s="2978"/>
    </row>
    <row r="8" spans="1:9" ht="15.75">
      <c r="A8" s="2975" t="str">
        <f>结果表!A122</f>
        <v>房地产抵押价值</v>
      </c>
      <c r="B8" s="2975"/>
      <c r="C8" s="2975"/>
      <c r="D8" s="2975">
        <f ca="1">结果表!D122</f>
        <v>1001</v>
      </c>
      <c r="E8" s="2975"/>
      <c r="F8" s="2975"/>
      <c r="G8" s="2975"/>
      <c r="H8" s="2975"/>
      <c r="I8" s="2975"/>
    </row>
    <row r="9" spans="1:9" ht="15">
      <c r="A9" s="2973" t="s">
        <v>1642</v>
      </c>
      <c r="B9" s="2973"/>
      <c r="C9" s="2973"/>
      <c r="D9" s="2974" t="str">
        <f ca="1">结果表!D123</f>
        <v>壹仟零壹万元整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1642</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1642</v>
      </c>
      <c r="B13" s="2979"/>
      <c r="C13" s="2979"/>
      <c r="D13" s="2980" t="e">
        <f>结果表!D127</f>
        <v>#VALUE!</v>
      </c>
      <c r="E13" s="2980"/>
      <c r="F13" s="2980"/>
      <c r="G13" s="2980"/>
      <c r="H13" s="2980"/>
      <c r="I13" s="2980"/>
    </row>
    <row r="14" spans="1:9" ht="15" thickTop="1">
      <c r="A14" s="2981" t="s">
        <v>1647</v>
      </c>
      <c r="B14" s="2981"/>
      <c r="C14" s="2981"/>
      <c r="D14" s="2981"/>
      <c r="E14" s="2981"/>
      <c r="F14" s="2981"/>
      <c r="G14" s="2981"/>
      <c r="H14" s="2981"/>
      <c r="I14" s="2981"/>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2" t="s">
        <v>1664</v>
      </c>
      <c r="B1" s="2982"/>
      <c r="C1" s="2982"/>
      <c r="D1" s="2982"/>
    </row>
    <row r="2" spans="1:4" ht="18">
      <c r="A2" s="2983" t="s">
        <v>1648</v>
      </c>
      <c r="B2" s="2983"/>
      <c r="C2" s="2983"/>
      <c r="D2" s="2983"/>
    </row>
    <row r="3" spans="1:4" ht="18.75">
      <c r="A3" s="1980" t="s">
        <v>1649</v>
      </c>
      <c r="B3" s="1980" t="s">
        <v>1650</v>
      </c>
      <c r="C3" s="1980" t="s">
        <v>1651</v>
      </c>
      <c r="D3" s="1980" t="s">
        <v>1652</v>
      </c>
    </row>
    <row r="4" spans="1:4" ht="56.25" customHeight="1">
      <c r="A4" s="1981" t="str">
        <f>项目基本情况!B4</f>
        <v>吴薇</v>
      </c>
      <c r="B4" s="1982">
        <f ca="1">项目基本情况!C4</f>
        <v>1419970001</v>
      </c>
      <c r="C4" s="1983"/>
      <c r="D4" s="1984" t="s">
        <v>1653</v>
      </c>
    </row>
    <row r="5" spans="1:4" ht="56.25" customHeight="1">
      <c r="A5" s="1981" t="str">
        <f>项目基本情况!D4</f>
        <v>王鹏</v>
      </c>
      <c r="B5" s="1982">
        <f ca="1">项目基本情况!E4</f>
        <v>1120050019</v>
      </c>
      <c r="C5" s="1985"/>
      <c r="D5" s="1984" t="s">
        <v>1653</v>
      </c>
    </row>
    <row r="6" spans="1:4" ht="18">
      <c r="A6" s="2983" t="s">
        <v>1654</v>
      </c>
      <c r="B6" s="2983"/>
      <c r="C6" s="2983"/>
      <c r="D6" s="2983"/>
    </row>
    <row r="7" spans="1:4" ht="18.75">
      <c r="A7" s="1980" t="s">
        <v>1649</v>
      </c>
      <c r="B7" s="1982" t="s">
        <v>1655</v>
      </c>
      <c r="C7" s="1980" t="s">
        <v>1651</v>
      </c>
      <c r="D7" s="1980" t="s">
        <v>1652</v>
      </c>
    </row>
    <row r="8" spans="1:4" ht="56.25" customHeight="1">
      <c r="A8" s="1986" t="s">
        <v>869</v>
      </c>
      <c r="B8" s="1986" t="s">
        <v>1</v>
      </c>
      <c r="C8" s="1983"/>
      <c r="D8" s="1984" t="s">
        <v>1653</v>
      </c>
    </row>
    <row r="9" spans="1:4">
      <c r="A9" s="727"/>
      <c r="B9" s="727"/>
      <c r="C9" s="727"/>
      <c r="D9" s="727"/>
    </row>
    <row r="10" spans="1:4" ht="18.75">
      <c r="A10" s="1987" t="s">
        <v>1656</v>
      </c>
      <c r="B10" s="727"/>
      <c r="C10" s="727"/>
      <c r="D10" s="727"/>
    </row>
    <row r="11" spans="1:4" ht="30" customHeight="1">
      <c r="A11" s="2984" t="s">
        <v>1657</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（1）根据估价对象《房屋所有权证》复印件，截至价值时点，估价对象抵押权未见登记。</v>
      </c>
      <c r="B15" s="2985"/>
      <c r="C15" s="2985"/>
      <c r="D15" s="2985"/>
    </row>
    <row r="16" spans="1:4" ht="30" customHeight="1">
      <c r="A16" s="2988" t="s">
        <v>1658</v>
      </c>
      <c r="B16" s="2988"/>
      <c r="C16" s="2988"/>
      <c r="D16" s="2988"/>
    </row>
    <row r="17" spans="1:4" ht="144" customHeight="1">
      <c r="A17" s="2988" t="s">
        <v>1659</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1660</v>
      </c>
      <c r="B22" s="2990"/>
      <c r="C22" s="2990"/>
      <c r="D22" s="2990"/>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96" t="s">
        <v>1671</v>
      </c>
      <c r="B15" s="2991" t="s">
        <v>136</v>
      </c>
      <c r="C15" s="2992"/>
    </row>
    <row r="16" spans="1:7" ht="13.5">
      <c r="A16" s="2997"/>
      <c r="B16" s="2991" t="s">
        <v>69</v>
      </c>
      <c r="C16" s="2992"/>
    </row>
    <row r="17" spans="1:3" ht="13.5">
      <c r="A17" s="2997"/>
      <c r="B17" s="2994" t="s">
        <v>1672</v>
      </c>
      <c r="C17" s="2003" t="s">
        <v>1671</v>
      </c>
    </row>
    <row r="18" spans="1:3" ht="13.5">
      <c r="A18" s="2997"/>
      <c r="B18" s="2994"/>
      <c r="C18" s="2003" t="s">
        <v>1673</v>
      </c>
    </row>
    <row r="19" spans="1:3" ht="13.5">
      <c r="A19" s="2997"/>
      <c r="B19" s="2994"/>
      <c r="C19" s="2003" t="s">
        <v>1674</v>
      </c>
    </row>
    <row r="20" spans="1:3" ht="13.5">
      <c r="A20" s="2998"/>
      <c r="B20" s="2993" t="s">
        <v>1675</v>
      </c>
      <c r="C20" s="2992"/>
    </row>
    <row r="21" spans="1:3" ht="13.5">
      <c r="A21" s="2004" t="s">
        <v>1676</v>
      </c>
      <c r="B21" s="2005"/>
      <c r="C21" s="2006"/>
    </row>
    <row r="22" spans="1:3" ht="13.5">
      <c r="A22" s="2995" t="s">
        <v>1677</v>
      </c>
      <c r="B22" s="2993" t="s">
        <v>1678</v>
      </c>
      <c r="C22" s="2992"/>
    </row>
    <row r="23" spans="1:3" ht="13.5">
      <c r="A23" s="2995"/>
      <c r="B23" s="2993" t="s">
        <v>1679</v>
      </c>
      <c r="C23" s="2992"/>
    </row>
    <row r="24" spans="1:3" ht="13.5">
      <c r="A24" s="2995"/>
      <c r="B24" s="2993" t="s">
        <v>1680</v>
      </c>
      <c r="C24" s="2992"/>
    </row>
    <row r="25" spans="1:3" ht="13.5">
      <c r="A25" s="2995"/>
      <c r="B25" s="2994" t="s">
        <v>1681</v>
      </c>
      <c r="C25" s="2003" t="s">
        <v>1682</v>
      </c>
    </row>
    <row r="26" spans="1:3" ht="13.5">
      <c r="A26" s="2995"/>
      <c r="B26" s="2994"/>
      <c r="C26" s="2003" t="s">
        <v>1683</v>
      </c>
    </row>
    <row r="27" spans="1:3" ht="13.5">
      <c r="A27" s="2995"/>
      <c r="B27" s="2994"/>
      <c r="C27" s="2003" t="s">
        <v>1684</v>
      </c>
    </row>
    <row r="28" spans="1:3" ht="13.5">
      <c r="A28" s="2995"/>
      <c r="B28" s="2994"/>
      <c r="C28" s="2003" t="s">
        <v>1685</v>
      </c>
    </row>
    <row r="29" spans="1:3" ht="13.5">
      <c r="A29" s="2995"/>
      <c r="B29" s="2994"/>
      <c r="C29" s="2003" t="s">
        <v>1686</v>
      </c>
    </row>
    <row r="30" spans="1:3" ht="13.5">
      <c r="A30" s="2995"/>
      <c r="B30" s="2994"/>
      <c r="C30" s="2003" t="s">
        <v>1687</v>
      </c>
    </row>
    <row r="31" spans="1:3" ht="13.5">
      <c r="A31" s="2995"/>
      <c r="B31" s="2994"/>
      <c r="C31" s="2003" t="s">
        <v>1688</v>
      </c>
    </row>
    <row r="32" spans="1:3" ht="13.5">
      <c r="A32" s="2995"/>
      <c r="B32" s="2994"/>
      <c r="C32" s="2003" t="s">
        <v>1689</v>
      </c>
    </row>
    <row r="33" spans="1:3" ht="13.5">
      <c r="A33" s="2995"/>
      <c r="B33" s="2994"/>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3" zoomScale="80" zoomScaleNormal="100" zoomScaleSheetLayoutView="80" workbookViewId="0">
      <selection activeCell="H20" sqref="H2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43045</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2999" t="s">
        <v>846</v>
      </c>
      <c r="B25" s="2999"/>
      <c r="C25" s="2999"/>
      <c r="D25" s="2999"/>
      <c r="E25" s="2999"/>
      <c r="F25" s="2999"/>
      <c r="G25" s="2999"/>
    </row>
    <row r="26" spans="1:7" s="1027" customFormat="1" ht="24" customHeight="1">
      <c r="A26" s="3000" t="s">
        <v>847</v>
      </c>
      <c r="B26" s="3000"/>
      <c r="C26" s="3001"/>
      <c r="D26" s="3002" t="s">
        <v>848</v>
      </c>
      <c r="E26" s="3000"/>
      <c r="F26" s="3000"/>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比较法-住宅</vt:lpstr>
      <vt:lpstr>收益法 (元)</vt:lpstr>
      <vt:lpstr>收益法（汇总）</vt:lpstr>
      <vt:lpstr>比较法-住宅租金</vt:lpstr>
      <vt:lpstr>收益法</vt:lpstr>
      <vt:lpstr>酒店收入计算</vt:lpstr>
      <vt:lpstr>成本法</vt:lpstr>
      <vt:lpstr>典型户型修正</vt:lpstr>
      <vt:lpstr>成本法 (元)</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2017-11-06T05:12:08Z</dcterms:modified>
</cp:coreProperties>
</file>