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琼询价想要2.5万平\"/>
    </mc:Choice>
  </mc:AlternateContent>
  <xr:revisionPtr revIDLastSave="0" documentId="13_ncr:1_{177C1229-307D-41B1-BC3F-709D397D561C}" xr6:coauthVersionLast="47" xr6:coauthVersionMax="47" xr10:uidLastSave="{00000000-0000-0000-0000-000000000000}"/>
  <bookViews>
    <workbookView xWindow="-110" yWindow="-110" windowWidth="25820" windowHeight="140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典型户型修正" sheetId="31" r:id="rId25"/>
    <sheet name="面积" sheetId="80" r:id="rId26"/>
    <sheet name="租金案例"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办公" sheetId="34"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4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67" l="1"/>
  <c r="E4" i="31"/>
  <c r="D4" i="31"/>
  <c r="A25" i="31"/>
  <c r="R18" i="1"/>
  <c r="I19" i="3"/>
  <c r="C14" i="3"/>
  <c r="A26" i="31" s="1"/>
  <c r="C15" i="3"/>
  <c r="A27" i="31" s="1"/>
  <c r="C16" i="3"/>
  <c r="A28" i="31" s="1"/>
  <c r="C17" i="3"/>
  <c r="A29" i="31" s="1"/>
  <c r="C18" i="3"/>
  <c r="A30" i="31" s="1"/>
  <c r="C19" i="3"/>
  <c r="C19" i="6" s="1"/>
  <c r="C13" i="3"/>
  <c r="I14" i="3"/>
  <c r="I15" i="3"/>
  <c r="I16" i="3"/>
  <c r="I17" i="3"/>
  <c r="I18" i="3"/>
  <c r="I13" i="3"/>
  <c r="U21" i="1"/>
  <c r="N6" i="1"/>
  <c r="Y6" i="1" s="1"/>
  <c r="N21" i="1"/>
  <c r="N19" i="1"/>
  <c r="B21" i="1"/>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5" i="79"/>
  <c r="AD34" i="79"/>
  <c r="AD36" i="79"/>
  <c r="Z3" i="79"/>
  <c r="S34" i="79"/>
  <c r="AG34" i="79" s="1"/>
  <c r="S35" i="79"/>
  <c r="AG35" i="79" s="1"/>
  <c r="S33" i="79"/>
  <c r="AG33" i="79" s="1"/>
  <c r="W40" i="79"/>
  <c r="AK40" i="79" s="1"/>
  <c r="AH40" i="79"/>
  <c r="AR18" i="79"/>
  <c r="AR19" i="79" s="1"/>
  <c r="AR20" i="79" s="1"/>
  <c r="AR21" i="79" s="1"/>
  <c r="AR22" i="79" s="1"/>
  <c r="AR23" i="79" s="1"/>
  <c r="AR24" i="79" s="1"/>
  <c r="T33" i="79"/>
  <c r="T35" i="79"/>
  <c r="T34"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30" i="31"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R33" i="31"/>
  <c r="S33" i="31" s="1"/>
  <c r="R34" i="31"/>
  <c r="S34" i="31" s="1"/>
  <c r="R35" i="31"/>
  <c r="R36" i="31"/>
  <c r="R37" i="31"/>
  <c r="S37" i="31" s="1"/>
  <c r="R38" i="31"/>
  <c r="S38" i="31" s="1"/>
  <c r="R39" i="31"/>
  <c r="S39" i="31" s="1"/>
  <c r="R40" i="31"/>
  <c r="R41" i="31"/>
  <c r="S41" i="31" s="1"/>
  <c r="R42" i="31"/>
  <c r="S42" i="31" s="1"/>
  <c r="R43" i="31"/>
  <c r="R44" i="31"/>
  <c r="R45" i="31"/>
  <c r="S45" i="31" s="1"/>
  <c r="R46" i="31"/>
  <c r="S46" i="31" s="1"/>
  <c r="R47" i="31"/>
  <c r="S47" i="31" s="1"/>
  <c r="R48" i="31"/>
  <c r="R49" i="31"/>
  <c r="S49" i="31" s="1"/>
  <c r="R50" i="31"/>
  <c r="S50" i="31" s="1"/>
  <c r="R51" i="3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R76" i="31"/>
  <c r="R77" i="31"/>
  <c r="S77" i="31" s="1"/>
  <c r="R78" i="31"/>
  <c r="S78" i="31" s="1"/>
  <c r="R79" i="31"/>
  <c r="S79" i="31" s="1"/>
  <c r="R80" i="31"/>
  <c r="R81" i="31"/>
  <c r="R82" i="31"/>
  <c r="S82" i="31" s="1"/>
  <c r="R83" i="3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R100" i="31"/>
  <c r="R101" i="31"/>
  <c r="R102" i="31"/>
  <c r="S102" i="31" s="1"/>
  <c r="R103" i="31"/>
  <c r="S103" i="31" s="1"/>
  <c r="R104" i="31"/>
  <c r="R105" i="31"/>
  <c r="S105" i="31" s="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R124" i="31"/>
  <c r="R125" i="31"/>
  <c r="S125" i="31" s="1"/>
  <c r="R126" i="31"/>
  <c r="S126" i="31" s="1"/>
  <c r="R127" i="31"/>
  <c r="S127" i="31" s="1"/>
  <c r="R128" i="31"/>
  <c r="R129" i="31"/>
  <c r="S129" i="31" s="1"/>
  <c r="R130" i="31"/>
  <c r="S130" i="31" s="1"/>
  <c r="R131" i="31"/>
  <c r="S131" i="31" s="1"/>
  <c r="R132" i="31"/>
  <c r="R133" i="31"/>
  <c r="S133" i="31" s="1"/>
  <c r="R134" i="31"/>
  <c r="S134" i="31" s="1"/>
  <c r="R135" i="31"/>
  <c r="R136" i="31"/>
  <c r="R137" i="31"/>
  <c r="S137" i="31" s="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S151" i="31" s="1"/>
  <c r="R152" i="31"/>
  <c r="R153" i="31"/>
  <c r="S153" i="31" s="1"/>
  <c r="R154" i="31"/>
  <c r="S154" i="31" s="1"/>
  <c r="R155" i="31"/>
  <c r="R156" i="31"/>
  <c r="R157" i="31"/>
  <c r="S157" i="31" s="1"/>
  <c r="R158" i="31"/>
  <c r="S158" i="31" s="1"/>
  <c r="R159" i="31"/>
  <c r="S159" i="31" s="1"/>
  <c r="R160" i="31"/>
  <c r="R161" i="31"/>
  <c r="S161" i="31" s="1"/>
  <c r="R162" i="31"/>
  <c r="S162" i="31" s="1"/>
  <c r="R163" i="31"/>
  <c r="S163" i="31" s="1"/>
  <c r="R164" i="31"/>
  <c r="R165" i="31"/>
  <c r="R166" i="31"/>
  <c r="S166" i="31" s="1"/>
  <c r="R167" i="31"/>
  <c r="R168" i="31"/>
  <c r="R169" i="31"/>
  <c r="S169" i="31" s="1"/>
  <c r="R170" i="31"/>
  <c r="S170" i="31" s="1"/>
  <c r="R171" i="31"/>
  <c r="S171" i="31" s="1"/>
  <c r="R172" i="31"/>
  <c r="R173" i="31"/>
  <c r="S173" i="31" s="1"/>
  <c r="R174" i="31"/>
  <c r="S174" i="31" s="1"/>
  <c r="R175" i="31"/>
  <c r="R176" i="31"/>
  <c r="R177" i="31"/>
  <c r="S177" i="31" s="1"/>
  <c r="R178" i="31"/>
  <c r="S178" i="31" s="1"/>
  <c r="R179" i="31"/>
  <c r="S179" i="31" s="1"/>
  <c r="R180" i="31"/>
  <c r="R181" i="31"/>
  <c r="R182" i="31"/>
  <c r="S182" i="31" s="1"/>
  <c r="R183" i="31"/>
  <c r="S183" i="31" s="1"/>
  <c r="R184" i="31"/>
  <c r="R185" i="31"/>
  <c r="S185" i="31" s="1"/>
  <c r="R186" i="31"/>
  <c r="S186" i="31" s="1"/>
  <c r="R187" i="31"/>
  <c r="R188" i="31"/>
  <c r="R189" i="31"/>
  <c r="S189" i="31" s="1"/>
  <c r="R190" i="31"/>
  <c r="S190" i="31" s="1"/>
  <c r="R191" i="31"/>
  <c r="S191" i="31" s="1"/>
  <c r="R192" i="31"/>
  <c r="R193" i="31"/>
  <c r="S193" i="31" s="1"/>
  <c r="R194" i="31"/>
  <c r="S194" i="31" s="1"/>
  <c r="R195" i="31"/>
  <c r="S195" i="31" s="1"/>
  <c r="R196" i="31"/>
  <c r="R197" i="31"/>
  <c r="S197" i="31" s="1"/>
  <c r="R198" i="31"/>
  <c r="S198" i="31" s="1"/>
  <c r="R199" i="3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S215" i="31" s="1"/>
  <c r="R216" i="31"/>
  <c r="R217" i="31"/>
  <c r="S217" i="31" s="1"/>
  <c r="R218" i="31"/>
  <c r="S218" i="31" s="1"/>
  <c r="R219" i="31"/>
  <c r="R220" i="31"/>
  <c r="R221" i="31"/>
  <c r="S221" i="31" s="1"/>
  <c r="R222" i="31"/>
  <c r="S222" i="31" s="1"/>
  <c r="R223" i="31"/>
  <c r="R224" i="31"/>
  <c r="R225" i="31"/>
  <c r="S225" i="31" s="1"/>
  <c r="R226" i="31"/>
  <c r="S226" i="31" s="1"/>
  <c r="R227" i="31"/>
  <c r="S227" i="31" s="1"/>
  <c r="R228" i="31"/>
  <c r="R229" i="31"/>
  <c r="R230" i="31"/>
  <c r="S230" i="31" s="1"/>
  <c r="R231" i="31"/>
  <c r="S231" i="31" s="1"/>
  <c r="R232" i="31"/>
  <c r="R233" i="31"/>
  <c r="S233" i="31" s="1"/>
  <c r="R234" i="31"/>
  <c r="S234" i="31" s="1"/>
  <c r="R235" i="31"/>
  <c r="S235" i="31" s="1"/>
  <c r="R236" i="31"/>
  <c r="R237" i="31"/>
  <c r="R238" i="31"/>
  <c r="S238" i="31" s="1"/>
  <c r="R239" i="3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S463" i="31" s="1"/>
  <c r="R464" i="31"/>
  <c r="R465" i="31"/>
  <c r="S465" i="31" s="1"/>
  <c r="R466" i="31"/>
  <c r="S466" i="31" s="1"/>
  <c r="R467" i="3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B26" i="31" s="1"/>
  <c r="AC14" i="3"/>
  <c r="H15" i="3"/>
  <c r="AC15" i="3"/>
  <c r="H16" i="3"/>
  <c r="G16" i="3" s="1"/>
  <c r="B28" i="31"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2" i="31"/>
  <c r="S248" i="31"/>
  <c r="S244" i="31"/>
  <c r="S240" i="31"/>
  <c r="S239" i="31"/>
  <c r="S237" i="31"/>
  <c r="S236" i="31"/>
  <c r="S232" i="31"/>
  <c r="S229" i="31"/>
  <c r="S228" i="31"/>
  <c r="S224" i="31"/>
  <c r="S223" i="31"/>
  <c r="S428" i="31"/>
  <c r="S220" i="31"/>
  <c r="S219" i="31"/>
  <c r="S216" i="31"/>
  <c r="S212" i="31"/>
  <c r="S208" i="31"/>
  <c r="S207" i="31"/>
  <c r="S204" i="31"/>
  <c r="S200" i="31"/>
  <c r="S199" i="31"/>
  <c r="S196" i="31"/>
  <c r="S192" i="31"/>
  <c r="S188" i="31"/>
  <c r="S187" i="31"/>
  <c r="S184" i="31"/>
  <c r="S181" i="31"/>
  <c r="S180" i="31"/>
  <c r="S176" i="31"/>
  <c r="S175" i="31"/>
  <c r="S172" i="31"/>
  <c r="S168" i="31"/>
  <c r="S167" i="31"/>
  <c r="S165" i="31"/>
  <c r="S164" i="31"/>
  <c r="S160" i="31"/>
  <c r="S156" i="31"/>
  <c r="S155" i="31"/>
  <c r="S152" i="31"/>
  <c r="S148" i="31"/>
  <c r="S144" i="31"/>
  <c r="S143" i="31"/>
  <c r="S140" i="31"/>
  <c r="S136" i="31"/>
  <c r="S135" i="31"/>
  <c r="S132" i="31"/>
  <c r="S128" i="31"/>
  <c r="S124" i="31"/>
  <c r="S123" i="31"/>
  <c r="S496" i="31"/>
  <c r="S492" i="31"/>
  <c r="S491" i="31"/>
  <c r="S488" i="31"/>
  <c r="S486" i="31"/>
  <c r="S484" i="31"/>
  <c r="S480" i="31"/>
  <c r="S476" i="31"/>
  <c r="S472" i="31"/>
  <c r="S470" i="31"/>
  <c r="S468" i="31"/>
  <c r="S444" i="31"/>
  <c r="S440" i="31"/>
  <c r="S436" i="31"/>
  <c r="S435" i="31"/>
  <c r="S432" i="31"/>
  <c r="S120" i="31"/>
  <c r="S116" i="31"/>
  <c r="S112" i="31"/>
  <c r="S504" i="31"/>
  <c r="S500" i="31"/>
  <c r="S467" i="31"/>
  <c r="S464" i="31"/>
  <c r="S460" i="31"/>
  <c r="S456" i="31"/>
  <c r="S455" i="31"/>
  <c r="S452" i="31"/>
  <c r="S52" i="31"/>
  <c r="S51" i="31"/>
  <c r="S48" i="31"/>
  <c r="S44" i="31"/>
  <c r="S43" i="31"/>
  <c r="S40" i="31"/>
  <c r="S36" i="31"/>
  <c r="S35" i="31"/>
  <c r="S32" i="31"/>
  <c r="S76" i="31"/>
  <c r="S75" i="31"/>
  <c r="S72" i="31"/>
  <c r="S68" i="31"/>
  <c r="S64" i="31"/>
  <c r="S60" i="31"/>
  <c r="S56" i="31"/>
  <c r="S96" i="31"/>
  <c r="S92" i="31"/>
  <c r="S88" i="31"/>
  <c r="S84" i="31"/>
  <c r="S83" i="31"/>
  <c r="S81" i="31"/>
  <c r="S80" i="31"/>
  <c r="S99" i="31"/>
  <c r="S100" i="31"/>
  <c r="S101" i="31"/>
  <c r="S104" i="31"/>
  <c r="S108" i="31"/>
  <c r="S111" i="31"/>
  <c r="S448" i="31"/>
  <c r="S508"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6" i="31"/>
  <c r="S519" i="31"/>
  <c r="S520"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F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25" i="39"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H46" i="21" s="1"/>
  <c r="B128" i="21"/>
  <c r="J45" i="21" s="1"/>
  <c r="W45" i="21" s="1"/>
  <c r="B126" i="21"/>
  <c r="J44" i="21" s="1"/>
  <c r="AC44" i="21" s="1"/>
  <c r="B98" i="21"/>
  <c r="H31" i="21" s="1"/>
  <c r="B96" i="21"/>
  <c r="B94" i="21"/>
  <c r="J29" i="21"/>
  <c r="AC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5" i="33"/>
  <c r="S40" i="33"/>
  <c r="W33" i="33"/>
  <c r="W39" i="33"/>
  <c r="H39" i="37"/>
  <c r="AB39" i="37" s="1"/>
  <c r="S27" i="35"/>
  <c r="F11" i="40"/>
  <c r="AA11" i="40"/>
  <c r="H11" i="40"/>
  <c r="AB11" i="40" s="1"/>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6"/>
  <c r="S44" i="39"/>
  <c r="J34" i="36"/>
  <c r="W34" i="36" s="1"/>
  <c r="U30" i="36"/>
  <c r="J30" i="35"/>
  <c r="W30" i="35" s="1"/>
  <c r="H30" i="35"/>
  <c r="AB30" i="35" s="1"/>
  <c r="F22" i="35"/>
  <c r="AA22" i="35" s="1"/>
  <c r="H10" i="35"/>
  <c r="U10" i="35" s="1"/>
  <c r="AA33" i="36"/>
  <c r="W30" i="36"/>
  <c r="H16" i="36"/>
  <c r="AB16"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AC15" i="34" s="1"/>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U26" i="33"/>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S32" i="34" s="1"/>
  <c r="J32" i="34"/>
  <c r="W32" i="34" s="1"/>
  <c r="H46" i="34"/>
  <c r="U46" i="34"/>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S30" i="33" s="1"/>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J28" i="37"/>
  <c r="AC28" i="37" s="1"/>
  <c r="J38" i="37"/>
  <c r="AC38" i="37" s="1"/>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AB46" i="34"/>
  <c r="AB45" i="33"/>
  <c r="AC28" i="21"/>
  <c r="S44" i="34"/>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BA566" i="3"/>
  <c r="BA564" i="3"/>
  <c r="BA562" i="3"/>
  <c r="BA560" i="3"/>
  <c r="BA558" i="3"/>
  <c r="BA556" i="3"/>
  <c r="AZ556" i="3" s="1"/>
  <c r="BA552" i="3"/>
  <c r="AZ552" i="3" s="1"/>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AZ563" i="3" s="1"/>
  <c r="BA561" i="3"/>
  <c r="BA559" i="3"/>
  <c r="BA555" i="3"/>
  <c r="BA553" i="3"/>
  <c r="BA549"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7" i="3"/>
  <c r="G545" i="3"/>
  <c r="G543" i="3"/>
  <c r="G541" i="3"/>
  <c r="G539" i="3"/>
  <c r="G537" i="3"/>
  <c r="BQ555" i="3"/>
  <c r="BQ553" i="3"/>
  <c r="BL553" i="3" s="1"/>
  <c r="AZ553" i="3"/>
  <c r="BQ551" i="3"/>
  <c r="BQ549" i="3"/>
  <c r="BQ547" i="3"/>
  <c r="BL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14" i="40"/>
  <c r="W23" i="35"/>
  <c r="U26" i="37"/>
  <c r="W47" i="34"/>
  <c r="AC31" i="33"/>
  <c r="AC45" i="33"/>
  <c r="W44" i="33"/>
  <c r="U11" i="33"/>
  <c r="U19" i="21"/>
  <c r="W44" i="21"/>
  <c r="AB38" i="21"/>
  <c r="F43" i="33"/>
  <c r="AA43" i="33"/>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67" i="3"/>
  <c r="AZ168" i="3"/>
  <c r="AZ176" i="3"/>
  <c r="AZ97" i="3"/>
  <c r="AZ120" i="3"/>
  <c r="G534" i="3"/>
  <c r="G530" i="3"/>
  <c r="G522" i="3"/>
  <c r="G516" i="3"/>
  <c r="G512" i="3"/>
  <c r="G506" i="3"/>
  <c r="G498" i="3"/>
  <c r="G494" i="3"/>
  <c r="G15" i="3"/>
  <c r="B27" i="31" s="1"/>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AZ222"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BA379" i="3"/>
  <c r="AZ379" i="3" s="1"/>
  <c r="BL380" i="3"/>
  <c r="G381" i="3"/>
  <c r="BA383" i="3"/>
  <c r="AZ383" i="3" s="1"/>
  <c r="BL384" i="3"/>
  <c r="G385" i="3"/>
  <c r="BA387" i="3"/>
  <c r="BL388" i="3"/>
  <c r="AZ388" i="3" s="1"/>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29" i="31" s="1"/>
  <c r="BA17" i="3"/>
  <c r="AZ17" i="3" s="1"/>
  <c r="BT5" i="3"/>
  <c r="AZ356" i="3"/>
  <c r="AZ368" i="3"/>
  <c r="BA15" i="3"/>
  <c r="AZ15" i="3" s="1"/>
  <c r="BB5" i="3"/>
  <c r="BR5" i="3"/>
  <c r="AZ380" i="3"/>
  <c r="AZ392" i="3"/>
  <c r="AZ509" i="3"/>
  <c r="G509" i="3"/>
  <c r="BL493" i="3"/>
  <c r="AZ493" i="3"/>
  <c r="U36" i="40"/>
  <c r="F83" i="43"/>
  <c r="H85" i="43" s="1"/>
  <c r="F50" i="43"/>
  <c r="H54" i="43" s="1"/>
  <c r="F72" i="43"/>
  <c r="H75" i="43" s="1"/>
  <c r="U17" i="39"/>
  <c r="S14" i="35"/>
  <c r="U43" i="21"/>
  <c r="U35" i="21"/>
  <c r="AC35" i="21"/>
  <c r="AZ501" i="3"/>
  <c r="W37" i="37"/>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1" i="3"/>
  <c r="AZ256" i="3"/>
  <c r="AZ259"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Z412" i="3"/>
  <c r="AZ433" i="3"/>
  <c r="W12" i="33"/>
  <c r="AC12" i="33"/>
  <c r="AA32" i="36"/>
  <c r="S32" i="36"/>
  <c r="AZ437" i="3"/>
  <c r="BL14" i="3"/>
  <c r="U30" i="33"/>
  <c r="AC13" i="34"/>
  <c r="AA47" i="34"/>
  <c r="S19" i="39"/>
  <c r="F12" i="33"/>
  <c r="S12" i="33" s="1"/>
  <c r="H12" i="39"/>
  <c r="AB12" i="39" s="1"/>
  <c r="F39" i="40"/>
  <c r="BA14" i="3"/>
  <c r="AZ14" i="3" s="1"/>
  <c r="AZ224" i="3"/>
  <c r="AZ297" i="3"/>
  <c r="B12" i="1"/>
  <c r="E12" i="1" s="1"/>
  <c r="B10" i="1"/>
  <c r="E10" i="1" s="1"/>
  <c r="K12" i="1"/>
  <c r="M12" i="1" s="1"/>
  <c r="S13" i="1"/>
  <c r="AR13" i="1" s="1"/>
  <c r="R13" i="1"/>
  <c r="J51" i="67"/>
  <c r="C42" i="1"/>
  <c r="C24" i="12" s="1"/>
  <c r="B41" i="1"/>
  <c r="F48" i="9" s="1"/>
  <c r="O52" i="9" s="1"/>
  <c r="AB37" i="40"/>
  <c r="S35" i="40"/>
  <c r="U35" i="40"/>
  <c r="AC36" i="40"/>
  <c r="W38" i="40"/>
  <c r="AA32" i="40"/>
  <c r="S23" i="40"/>
  <c r="AC17" i="40"/>
  <c r="AC15" i="40"/>
  <c r="S30" i="40"/>
  <c r="S28"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U14" i="35"/>
  <c r="AA11" i="35"/>
  <c r="AC12" i="35"/>
  <c r="W13" i="35"/>
  <c r="F9" i="35"/>
  <c r="S9" i="35" s="1"/>
  <c r="H9" i="35"/>
  <c r="U9" i="35" s="1"/>
  <c r="W27" i="37"/>
  <c r="AC29" i="37"/>
  <c r="U29" i="37"/>
  <c r="AB31" i="37"/>
  <c r="W30" i="37"/>
  <c r="S36" i="37"/>
  <c r="U32" i="37"/>
  <c r="W38" i="37"/>
  <c r="AC35" i="37"/>
  <c r="W39" i="37"/>
  <c r="S30" i="37"/>
  <c r="AC15" i="37"/>
  <c r="J17" i="37"/>
  <c r="W17"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F87" i="33"/>
  <c r="G87" i="33" s="1"/>
  <c r="H87" i="33" s="1"/>
  <c r="I87" i="33" s="1"/>
  <c r="J87" i="33" s="1"/>
  <c r="K87" i="33" s="1"/>
  <c r="L87" i="33" s="1"/>
  <c r="M87" i="33" s="1"/>
  <c r="H25" i="33"/>
  <c r="U25" i="33" s="1"/>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C18" i="9"/>
  <c r="D18" i="9" s="1"/>
  <c r="F34" i="67"/>
  <c r="F62" i="67" s="1"/>
  <c r="M20" i="67"/>
  <c r="F34" i="15"/>
  <c r="F62" i="15" s="1"/>
  <c r="G13" i="3"/>
  <c r="B25" i="31" s="1"/>
  <c r="BA13" i="3"/>
  <c r="BL17" i="3"/>
  <c r="BL13" i="3"/>
  <c r="J56" i="9"/>
  <c r="J57" i="9" s="1"/>
  <c r="J59" i="9" s="1"/>
  <c r="J61" i="9" s="1"/>
  <c r="A24" i="51"/>
  <c r="B18" i="72" s="1"/>
  <c r="U29" i="34"/>
  <c r="E5" i="6"/>
  <c r="E32" i="6"/>
  <c r="K1" i="12"/>
  <c r="E19" i="69"/>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15"/>
  <c r="G1" i="69"/>
  <c r="W23" i="40"/>
  <c r="U32" i="40"/>
  <c r="S37" i="40"/>
  <c r="AB28" i="40"/>
  <c r="W28" i="40"/>
  <c r="W34" i="40"/>
  <c r="W19" i="40"/>
  <c r="W27" i="40"/>
  <c r="S36" i="40"/>
  <c r="W37" i="40"/>
  <c r="AC14" i="40"/>
  <c r="S13" i="40"/>
  <c r="S33" i="40"/>
  <c r="AA15" i="40"/>
  <c r="U11" i="40"/>
  <c r="S31" i="40"/>
  <c r="AB13"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AC25" i="35"/>
  <c r="S24" i="35"/>
  <c r="U24" i="35"/>
  <c r="S35" i="35"/>
  <c r="W35" i="35"/>
  <c r="AA16" i="35"/>
  <c r="AA35" i="37"/>
  <c r="W32" i="37"/>
  <c r="U36" i="37"/>
  <c r="S40" i="37"/>
  <c r="AB37" i="37"/>
  <c r="AC34" i="37"/>
  <c r="AB35"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W46" i="33"/>
  <c r="U39" i="33"/>
  <c r="U38" i="33"/>
  <c r="S33" i="33"/>
  <c r="U44" i="33"/>
  <c r="AB44" i="33"/>
  <c r="AC14" i="33"/>
  <c r="W14" i="33"/>
  <c r="AC30" i="33"/>
  <c r="W30" i="33"/>
  <c r="S31" i="33"/>
  <c r="AA31" i="33"/>
  <c r="W13" i="33"/>
  <c r="AC13" i="33"/>
  <c r="U15" i="33"/>
  <c r="S11" i="33"/>
  <c r="U37" i="33"/>
  <c r="S28" i="33"/>
  <c r="W9"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2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W32" i="39" s="1"/>
  <c r="H32" i="39"/>
  <c r="AB32" i="39" s="1"/>
  <c r="AA32" i="39"/>
  <c r="S32" i="39"/>
  <c r="AB21" i="39"/>
  <c r="U21" i="39"/>
  <c r="AC17" i="37"/>
  <c r="S17" i="37"/>
  <c r="J19" i="37"/>
  <c r="W19" i="37" s="1"/>
  <c r="AA23" i="37"/>
  <c r="J23" i="37"/>
  <c r="W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AC25" i="33" s="1"/>
  <c r="F23" i="33"/>
  <c r="AA19" i="33"/>
  <c r="H19" i="33"/>
  <c r="AB19" i="33" s="1"/>
  <c r="G81" i="33"/>
  <c r="H17" i="33"/>
  <c r="U17" i="33" s="1"/>
  <c r="F17" i="33"/>
  <c r="S17" i="33" s="1"/>
  <c r="AC17" i="33"/>
  <c r="S37" i="21"/>
  <c r="AB15" i="21"/>
  <c r="J23" i="21"/>
  <c r="AC23" i="21" s="1"/>
  <c r="F85" i="21"/>
  <c r="G85" i="21" s="1"/>
  <c r="H23" i="21"/>
  <c r="S13" i="21"/>
  <c r="D6" i="52"/>
  <c r="AP7" i="1"/>
  <c r="U9" i="21"/>
  <c r="AA32" i="21"/>
  <c r="W9" i="21"/>
  <c r="AC9" i="21"/>
  <c r="AB32" i="21"/>
  <c r="U32" i="39"/>
  <c r="AC32" i="39"/>
  <c r="AC23" i="37"/>
  <c r="J63" i="37"/>
  <c r="K63" i="37" s="1"/>
  <c r="L63" i="37" s="1"/>
  <c r="M63" i="37" s="1"/>
  <c r="J11" i="37"/>
  <c r="AC11" i="37" s="1"/>
  <c r="J11" i="34"/>
  <c r="W11" i="34" s="1"/>
  <c r="AC27" i="33"/>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M26" i="15"/>
  <c r="F9" i="15"/>
  <c r="D6" i="73"/>
  <c r="F37" i="15"/>
  <c r="B11" i="76"/>
  <c r="E7" i="76"/>
  <c r="F5" i="73"/>
  <c r="B13" i="76"/>
  <c r="E10" i="76"/>
  <c r="E9" i="76"/>
  <c r="F20" i="31"/>
  <c r="F38" i="15"/>
  <c r="F7" i="73"/>
  <c r="E13" i="76"/>
  <c r="B7" i="76"/>
  <c r="E2" i="69"/>
  <c r="F36" i="15"/>
  <c r="L48" i="15"/>
  <c r="E12" i="76"/>
  <c r="E11" i="76"/>
  <c r="E2" i="68"/>
  <c r="AO13" i="1"/>
  <c r="F26" i="15"/>
  <c r="F13" i="15"/>
  <c r="B8" i="76"/>
  <c r="F6" i="73"/>
  <c r="M29" i="15"/>
  <c r="B10" i="76"/>
  <c r="F4" i="73"/>
  <c r="F3" i="73"/>
  <c r="B12" i="76"/>
  <c r="M8" i="15"/>
  <c r="J15" i="15"/>
  <c r="M6" i="15"/>
  <c r="E8" i="76"/>
  <c r="B9" i="76"/>
  <c r="H5" i="3" l="1"/>
  <c r="F6" i="1"/>
  <c r="G1" i="68"/>
  <c r="B6" i="1"/>
  <c r="E6" i="1" s="1"/>
  <c r="G1" i="67"/>
  <c r="G29" i="6"/>
  <c r="C40" i="68"/>
  <c r="AZ499" i="3"/>
  <c r="U25" i="37"/>
  <c r="AB25" i="37"/>
  <c r="W9" i="35"/>
  <c r="AC9" i="35"/>
  <c r="U31" i="21"/>
  <c r="AB31" i="21"/>
  <c r="S38" i="37"/>
  <c r="AA38" i="37"/>
  <c r="AZ547" i="3"/>
  <c r="AZ579" i="3"/>
  <c r="BL585" i="3"/>
  <c r="AZ585" i="3" s="1"/>
  <c r="AB33" i="33"/>
  <c r="U33" i="33"/>
  <c r="AC40" i="33"/>
  <c r="W40" i="33"/>
  <c r="J37" i="39"/>
  <c r="F37" i="39"/>
  <c r="S38" i="34"/>
  <c r="AA38" i="34"/>
  <c r="BA551" i="3"/>
  <c r="AZ551" i="3" s="1"/>
  <c r="BA550" i="3"/>
  <c r="BL548" i="3"/>
  <c r="AZ548" i="3" s="1"/>
  <c r="AA19" i="37"/>
  <c r="AA30" i="33"/>
  <c r="AB34" i="33"/>
  <c r="AA30" i="34"/>
  <c r="S27" i="37"/>
  <c r="U25" i="35"/>
  <c r="S46" i="33"/>
  <c r="S39" i="33"/>
  <c r="U27" i="34"/>
  <c r="AC39" i="34"/>
  <c r="AA13" i="37"/>
  <c r="AB17" i="37"/>
  <c r="S32" i="37"/>
  <c r="U12" i="39"/>
  <c r="S43" i="39"/>
  <c r="AA27" i="40"/>
  <c r="AB27" i="40"/>
  <c r="S17" i="40"/>
  <c r="AA34" i="33"/>
  <c r="AC44" i="34"/>
  <c r="AZ387" i="3"/>
  <c r="AZ338" i="3"/>
  <c r="AZ371" i="3"/>
  <c r="AZ305" i="3"/>
  <c r="AZ204" i="3"/>
  <c r="AZ375" i="3"/>
  <c r="AZ360" i="3"/>
  <c r="W40" i="37"/>
  <c r="AZ505" i="3"/>
  <c r="AZ525" i="3"/>
  <c r="AZ529" i="3"/>
  <c r="AZ537" i="3"/>
  <c r="AZ526" i="3"/>
  <c r="AZ546" i="3"/>
  <c r="AZ564" i="3"/>
  <c r="AZ580" i="3"/>
  <c r="S11" i="36"/>
  <c r="H38" i="37"/>
  <c r="F28" i="37"/>
  <c r="S41" i="33"/>
  <c r="W32" i="40"/>
  <c r="U34" i="34"/>
  <c r="AA35" i="34"/>
  <c r="S35" i="34"/>
  <c r="H23" i="36"/>
  <c r="J23" i="36"/>
  <c r="H31" i="39"/>
  <c r="J31" i="39"/>
  <c r="AZ443" i="3"/>
  <c r="U23" i="33"/>
  <c r="AB25" i="33"/>
  <c r="M18" i="15"/>
  <c r="M18" i="67"/>
  <c r="F30" i="11"/>
  <c r="C48" i="11" s="1"/>
  <c r="S17" i="21"/>
  <c r="W17" i="21"/>
  <c r="AB36" i="33"/>
  <c r="AB45" i="21"/>
  <c r="S21" i="39"/>
  <c r="F54" i="9"/>
  <c r="F32" i="15"/>
  <c r="F60" i="15" s="1"/>
  <c r="F52" i="9"/>
  <c r="F30" i="68"/>
  <c r="F48" i="68" s="1"/>
  <c r="W13" i="21"/>
  <c r="AC37" i="33"/>
  <c r="U19" i="34"/>
  <c r="W36" i="37"/>
  <c r="AC20" i="36"/>
  <c r="S20" i="36"/>
  <c r="AA39" i="39"/>
  <c r="U15" i="40"/>
  <c r="AB31" i="40"/>
  <c r="AA29" i="34"/>
  <c r="AB40" i="37"/>
  <c r="AB13" i="35"/>
  <c r="S15" i="39"/>
  <c r="U37" i="39"/>
  <c r="AC34" i="33"/>
  <c r="W28" i="37"/>
  <c r="U12" i="40"/>
  <c r="AC11" i="39"/>
  <c r="F29" i="6"/>
  <c r="AZ391" i="3"/>
  <c r="AZ331" i="3"/>
  <c r="AZ318" i="3"/>
  <c r="AZ364" i="3"/>
  <c r="AZ329" i="3"/>
  <c r="AZ304" i="3"/>
  <c r="AZ203" i="3"/>
  <c r="AZ306" i="3"/>
  <c r="W35" i="40"/>
  <c r="AA13" i="33"/>
  <c r="U39" i="37"/>
  <c r="AZ535" i="3"/>
  <c r="AZ577" i="3"/>
  <c r="AZ557" i="3"/>
  <c r="AZ513" i="3"/>
  <c r="AZ575" i="3"/>
  <c r="AZ528" i="3"/>
  <c r="AZ566" i="3"/>
  <c r="AZ574" i="3"/>
  <c r="AZ582" i="3"/>
  <c r="AZ540" i="3"/>
  <c r="AZ502" i="3"/>
  <c r="S45" i="33"/>
  <c r="U46" i="33"/>
  <c r="S28" i="34"/>
  <c r="U17" i="34"/>
  <c r="AB17" i="34"/>
  <c r="U34" i="21"/>
  <c r="W9" i="34"/>
  <c r="W25" i="37"/>
  <c r="G585" i="3"/>
  <c r="BL587" i="3"/>
  <c r="AZ587" i="3" s="1"/>
  <c r="BL586" i="3"/>
  <c r="AZ586" i="3" s="1"/>
  <c r="H28" i="33"/>
  <c r="J28" i="33"/>
  <c r="F9" i="34"/>
  <c r="AA9" i="34" s="1"/>
  <c r="H9" i="34"/>
  <c r="U12" i="35"/>
  <c r="AB12" i="35"/>
  <c r="F23" i="36"/>
  <c r="F25" i="37"/>
  <c r="AC40" i="39"/>
  <c r="W40" i="39"/>
  <c r="AA34" i="40"/>
  <c r="S34" i="40"/>
  <c r="G566" i="3"/>
  <c r="G558" i="3"/>
  <c r="AZ406" i="3"/>
  <c r="AB20" i="35"/>
  <c r="S37" i="37"/>
  <c r="U14" i="39"/>
  <c r="AA19" i="40"/>
  <c r="AZ384" i="3"/>
  <c r="AZ357" i="3"/>
  <c r="AZ164" i="3"/>
  <c r="S14" i="40"/>
  <c r="AA25" i="21"/>
  <c r="AC36" i="34"/>
  <c r="AZ568" i="3"/>
  <c r="AA14" i="34"/>
  <c r="S29" i="35"/>
  <c r="AA29" i="35"/>
  <c r="B101" i="43"/>
  <c r="B79" i="43"/>
  <c r="AC8" i="34"/>
  <c r="W8" i="34"/>
  <c r="J12" i="34"/>
  <c r="F12" i="34"/>
  <c r="S12" i="34" s="1"/>
  <c r="J39" i="40"/>
  <c r="H39" i="40"/>
  <c r="BL408" i="3"/>
  <c r="BL411" i="3"/>
  <c r="BL413" i="3"/>
  <c r="AZ413" i="3" s="1"/>
  <c r="BL417" i="3"/>
  <c r="BL418" i="3"/>
  <c r="BL420" i="3"/>
  <c r="BL424" i="3"/>
  <c r="BL428" i="3"/>
  <c r="BL429" i="3"/>
  <c r="BL432" i="3"/>
  <c r="BL435" i="3"/>
  <c r="AZ435" i="3" s="1"/>
  <c r="BL436" i="3"/>
  <c r="BA439" i="3"/>
  <c r="AZ439" i="3" s="1"/>
  <c r="BA440" i="3"/>
  <c r="AZ440" i="3" s="1"/>
  <c r="BA442" i="3"/>
  <c r="BA445" i="3"/>
  <c r="BA447" i="3"/>
  <c r="AZ447" i="3" s="1"/>
  <c r="BA449" i="3"/>
  <c r="BL453" i="3"/>
  <c r="BL454" i="3"/>
  <c r="AZ454" i="3" s="1"/>
  <c r="BL459" i="3"/>
  <c r="BA465" i="3"/>
  <c r="AZ465" i="3" s="1"/>
  <c r="BA467" i="3"/>
  <c r="AZ467" i="3" s="1"/>
  <c r="BA468" i="3"/>
  <c r="BL471" i="3"/>
  <c r="BL475" i="3"/>
  <c r="BL480" i="3"/>
  <c r="BA483" i="3"/>
  <c r="BL483" i="3"/>
  <c r="AZ483" i="3" s="1"/>
  <c r="BL398" i="3"/>
  <c r="G402" i="3"/>
  <c r="BL403" i="3"/>
  <c r="G405" i="3"/>
  <c r="G406" i="3"/>
  <c r="BA408" i="3"/>
  <c r="AZ408" i="3" s="1"/>
  <c r="BA409" i="3"/>
  <c r="AZ409" i="3" s="1"/>
  <c r="BA411" i="3"/>
  <c r="AZ411" i="3" s="1"/>
  <c r="BL414" i="3"/>
  <c r="BL415" i="3"/>
  <c r="AZ415" i="3" s="1"/>
  <c r="BA417" i="3"/>
  <c r="AZ417" i="3" s="1"/>
  <c r="BL421" i="3"/>
  <c r="AZ421" i="3" s="1"/>
  <c r="BL422" i="3"/>
  <c r="BL425" i="3"/>
  <c r="BL426" i="3"/>
  <c r="BA428" i="3"/>
  <c r="AZ428" i="3" s="1"/>
  <c r="BA429" i="3"/>
  <c r="BA430" i="3"/>
  <c r="AZ430" i="3" s="1"/>
  <c r="BA432" i="3"/>
  <c r="AZ432" i="3" s="1"/>
  <c r="BA434" i="3"/>
  <c r="BA436" i="3"/>
  <c r="BA438" i="3"/>
  <c r="AZ438" i="3" s="1"/>
  <c r="G442" i="3"/>
  <c r="G443" i="3"/>
  <c r="BA446" i="3"/>
  <c r="BA450" i="3"/>
  <c r="AZ450" i="3" s="1"/>
  <c r="BA453" i="3"/>
  <c r="BA455" i="3"/>
  <c r="AZ455" i="3" s="1"/>
  <c r="BL457" i="3"/>
  <c r="AZ457" i="3" s="1"/>
  <c r="BL460" i="3"/>
  <c r="AZ460" i="3" s="1"/>
  <c r="BL461" i="3"/>
  <c r="BL463" i="3"/>
  <c r="G465" i="3"/>
  <c r="BA471" i="3"/>
  <c r="AZ471" i="3" s="1"/>
  <c r="BL476" i="3"/>
  <c r="BL477" i="3"/>
  <c r="BL478" i="3"/>
  <c r="BL484" i="3"/>
  <c r="W8" i="40"/>
  <c r="H23" i="35"/>
  <c r="G551" i="3"/>
  <c r="BL550" i="3"/>
  <c r="G542" i="3"/>
  <c r="BA398" i="3"/>
  <c r="AZ398" i="3" s="1"/>
  <c r="BA399" i="3"/>
  <c r="AZ399" i="3" s="1"/>
  <c r="BL401" i="3"/>
  <c r="BL404" i="3"/>
  <c r="BL405" i="3"/>
  <c r="BL407" i="3"/>
  <c r="AZ407" i="3" s="1"/>
  <c r="AZ414" i="3"/>
  <c r="AZ418" i="3"/>
  <c r="AZ425" i="3"/>
  <c r="AZ451" i="3"/>
  <c r="AZ459" i="3"/>
  <c r="AZ461" i="3"/>
  <c r="AZ469" i="3"/>
  <c r="AZ480" i="3"/>
  <c r="AZ487" i="3"/>
  <c r="BL489" i="3"/>
  <c r="BL491" i="3"/>
  <c r="AZ491" i="3" s="1"/>
  <c r="BL492" i="3"/>
  <c r="BA315" i="3"/>
  <c r="AZ315" i="3" s="1"/>
  <c r="BL16" i="3"/>
  <c r="AZ16" i="3" s="1"/>
  <c r="BA401" i="3"/>
  <c r="BA403" i="3"/>
  <c r="AZ403" i="3" s="1"/>
  <c r="BA404" i="3"/>
  <c r="AZ404" i="3" s="1"/>
  <c r="BA405" i="3"/>
  <c r="AZ405" i="3" s="1"/>
  <c r="G409" i="3"/>
  <c r="BL410" i="3"/>
  <c r="AZ410" i="3" s="1"/>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AZ470" i="3" s="1"/>
  <c r="G472" i="3"/>
  <c r="G473" i="3"/>
  <c r="BL473" i="3"/>
  <c r="AZ473" i="3" s="1"/>
  <c r="BL474" i="3"/>
  <c r="BA476" i="3"/>
  <c r="BA477" i="3"/>
  <c r="BA478" i="3"/>
  <c r="BA486" i="3"/>
  <c r="BA331" i="3"/>
  <c r="BL367" i="3"/>
  <c r="G475" i="3"/>
  <c r="BA482" i="3"/>
  <c r="BA484" i="3"/>
  <c r="G491" i="3"/>
  <c r="BA303" i="3"/>
  <c r="AZ303" i="3" s="1"/>
  <c r="BA307" i="3"/>
  <c r="AZ307" i="3" s="1"/>
  <c r="G311" i="3"/>
  <c r="BL314" i="3"/>
  <c r="AZ314" i="3" s="1"/>
  <c r="G315" i="3"/>
  <c r="BA332" i="3"/>
  <c r="AZ332" i="3" s="1"/>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A241" i="3"/>
  <c r="BL241" i="3"/>
  <c r="BA243" i="3"/>
  <c r="BA248" i="3"/>
  <c r="AZ248" i="3" s="1"/>
  <c r="BA249" i="3"/>
  <c r="BL249" i="3"/>
  <c r="BA252" i="3"/>
  <c r="AZ252" i="3" s="1"/>
  <c r="BA254" i="3"/>
  <c r="AZ254" i="3" s="1"/>
  <c r="G260" i="3"/>
  <c r="BL260" i="3"/>
  <c r="AZ260" i="3" s="1"/>
  <c r="G262" i="3"/>
  <c r="BL264" i="3"/>
  <c r="G268" i="3"/>
  <c r="BL280" i="3"/>
  <c r="G282" i="3"/>
  <c r="G302" i="3"/>
  <c r="BL324" i="3"/>
  <c r="AZ324" i="3" s="1"/>
  <c r="BL328" i="3"/>
  <c r="AZ328" i="3" s="1"/>
  <c r="G329" i="3"/>
  <c r="BA335" i="3"/>
  <c r="AZ335" i="3" s="1"/>
  <c r="BA339" i="3"/>
  <c r="AZ339" i="3" s="1"/>
  <c r="G343" i="3"/>
  <c r="G347" i="3"/>
  <c r="BA348" i="3"/>
  <c r="BA350" i="3"/>
  <c r="AZ350" i="3" s="1"/>
  <c r="BA354" i="3"/>
  <c r="BA366" i="3"/>
  <c r="AZ366" i="3" s="1"/>
  <c r="BL375" i="3"/>
  <c r="BL385" i="3"/>
  <c r="AZ385" i="3" s="1"/>
  <c r="G392" i="3"/>
  <c r="BA397" i="3"/>
  <c r="AZ397" i="3" s="1"/>
  <c r="BL397" i="3"/>
  <c r="BA210" i="3"/>
  <c r="AZ210" i="3" s="1"/>
  <c r="BL210" i="3"/>
  <c r="BL212" i="3"/>
  <c r="G214" i="3"/>
  <c r="BL214" i="3"/>
  <c r="AZ214" i="3" s="1"/>
  <c r="G216" i="3"/>
  <c r="BL225" i="3"/>
  <c r="BL226" i="3"/>
  <c r="G227" i="3"/>
  <c r="BA239" i="3"/>
  <c r="BL239" i="3"/>
  <c r="G246" i="3"/>
  <c r="BA247" i="3"/>
  <c r="AZ247" i="3" s="1"/>
  <c r="BL247" i="3"/>
  <c r="BL250" i="3"/>
  <c r="AZ250" i="3" s="1"/>
  <c r="G258" i="3"/>
  <c r="BL267" i="3"/>
  <c r="BA286" i="3"/>
  <c r="BA293" i="3"/>
  <c r="AZ293" i="3" s="1"/>
  <c r="BL217" i="3"/>
  <c r="AZ217" i="3" s="1"/>
  <c r="BA221" i="3"/>
  <c r="BA223" i="3"/>
  <c r="AZ223" i="3" s="1"/>
  <c r="BL228" i="3"/>
  <c r="BA230" i="3"/>
  <c r="AZ230" i="3" s="1"/>
  <c r="BL232" i="3"/>
  <c r="BL234" i="3"/>
  <c r="BA236" i="3"/>
  <c r="BA238" i="3"/>
  <c r="AZ238" i="3" s="1"/>
  <c r="BL242" i="3"/>
  <c r="BL243" i="3"/>
  <c r="G244" i="3"/>
  <c r="BA246" i="3"/>
  <c r="G256" i="3"/>
  <c r="BA258" i="3"/>
  <c r="BL261" i="3"/>
  <c r="G266" i="3"/>
  <c r="G270" i="3"/>
  <c r="BL270" i="3"/>
  <c r="AZ270" i="3" s="1"/>
  <c r="BA272" i="3"/>
  <c r="AZ272" i="3" s="1"/>
  <c r="BL275" i="3"/>
  <c r="AZ275" i="3" s="1"/>
  <c r="G277" i="3"/>
  <c r="G284" i="3"/>
  <c r="BA291" i="3"/>
  <c r="AZ291" i="3" s="1"/>
  <c r="AZ301" i="3"/>
  <c r="BA333" i="3"/>
  <c r="BL346" i="3"/>
  <c r="AZ346" i="3" s="1"/>
  <c r="BA384" i="3"/>
  <c r="BA395" i="3"/>
  <c r="AZ395" i="3" s="1"/>
  <c r="BA208" i="3"/>
  <c r="AZ208" i="3" s="1"/>
  <c r="BA211" i="3"/>
  <c r="AZ211" i="3" s="1"/>
  <c r="BL213" i="3"/>
  <c r="BL215" i="3"/>
  <c r="AZ228" i="3"/>
  <c r="AZ177" i="3"/>
  <c r="BA130" i="3"/>
  <c r="AZ130" i="3" s="1"/>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G37" i="3"/>
  <c r="BL40" i="3"/>
  <c r="BL41" i="3"/>
  <c r="AZ41" i="3" s="1"/>
  <c r="AZ52" i="3"/>
  <c r="G67" i="3"/>
  <c r="BL68" i="3"/>
  <c r="BA69" i="3"/>
  <c r="AZ69" i="3" s="1"/>
  <c r="BA73" i="3"/>
  <c r="G78" i="3"/>
  <c r="BL86" i="3"/>
  <c r="AZ86" i="3" s="1"/>
  <c r="G93" i="3"/>
  <c r="D44" i="71"/>
  <c r="T44" i="71"/>
  <c r="D34" i="71"/>
  <c r="C35" i="71"/>
  <c r="C55" i="71"/>
  <c r="D54" i="71"/>
  <c r="D67" i="71"/>
  <c r="C66" i="71"/>
  <c r="O67" i="71"/>
  <c r="BA263" i="3"/>
  <c r="AZ263" i="3" s="1"/>
  <c r="BA267" i="3"/>
  <c r="BA269" i="3"/>
  <c r="AZ269" i="3" s="1"/>
  <c r="BA271" i="3"/>
  <c r="BL271" i="3"/>
  <c r="BA274" i="3"/>
  <c r="BL274" i="3"/>
  <c r="BA276" i="3"/>
  <c r="BA279" i="3"/>
  <c r="BA281" i="3"/>
  <c r="BL286" i="3"/>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BA204" i="3"/>
  <c r="BA18" i="3"/>
  <c r="BL21" i="3"/>
  <c r="G23" i="3"/>
  <c r="BL29" i="3"/>
  <c r="G33" i="3"/>
  <c r="G34" i="3"/>
  <c r="BA37" i="3"/>
  <c r="BL39" i="3"/>
  <c r="G43" i="3"/>
  <c r="BA43" i="3"/>
  <c r="BL47" i="3"/>
  <c r="AZ47" i="3" s="1"/>
  <c r="BL54" i="3"/>
  <c r="BL55" i="3"/>
  <c r="AZ55" i="3" s="1"/>
  <c r="G58" i="3"/>
  <c r="BA59" i="3"/>
  <c r="BL61" i="3"/>
  <c r="G64" i="3"/>
  <c r="BA64" i="3"/>
  <c r="AZ64" i="3" s="1"/>
  <c r="BA68" i="3"/>
  <c r="BL74" i="3"/>
  <c r="AZ74" i="3" s="1"/>
  <c r="BL75" i="3"/>
  <c r="F40" i="69"/>
  <c r="C40" i="69"/>
  <c r="C64" i="71"/>
  <c r="D63" i="7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G283" i="3"/>
  <c r="BL283" i="3"/>
  <c r="AZ283" i="3" s="1"/>
  <c r="BL284" i="3"/>
  <c r="AZ284" i="3" s="1"/>
  <c r="G285" i="3"/>
  <c r="G288" i="3"/>
  <c r="BL292" i="3"/>
  <c r="BA294" i="3"/>
  <c r="AZ294" i="3" s="1"/>
  <c r="BL295" i="3"/>
  <c r="BA298" i="3"/>
  <c r="AZ298" i="3" s="1"/>
  <c r="BL301" i="3"/>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AZ38" i="3" s="1"/>
  <c r="BA39" i="3"/>
  <c r="AZ39" i="3" s="1"/>
  <c r="G46" i="3"/>
  <c r="G47" i="3"/>
  <c r="BL48" i="3"/>
  <c r="BA51" i="3"/>
  <c r="AZ51" i="3" s="1"/>
  <c r="G55" i="3"/>
  <c r="BL56" i="3"/>
  <c r="AZ56" i="3" s="1"/>
  <c r="BA58" i="3"/>
  <c r="BL59" i="3"/>
  <c r="BL60" i="3"/>
  <c r="BA61" i="3"/>
  <c r="AZ61" i="3" s="1"/>
  <c r="BL69" i="3"/>
  <c r="G70" i="3"/>
  <c r="BL70" i="3"/>
  <c r="BL71" i="3"/>
  <c r="BL72" i="3"/>
  <c r="AZ72" i="3" s="1"/>
  <c r="G74" i="3"/>
  <c r="BA75" i="3"/>
  <c r="AZ75" i="3" s="1"/>
  <c r="G89" i="3"/>
  <c r="BA98" i="3"/>
  <c r="W21" i="21"/>
  <c r="AB21" i="37"/>
  <c r="U21" i="37"/>
  <c r="D31" i="71"/>
  <c r="C32" i="71"/>
  <c r="D50" i="71"/>
  <c r="C51" i="71"/>
  <c r="BL285" i="3"/>
  <c r="BL287" i="3"/>
  <c r="BA290" i="3"/>
  <c r="G297" i="3"/>
  <c r="BL299" i="3"/>
  <c r="G300" i="3"/>
  <c r="BL113" i="3"/>
  <c r="BL115" i="3"/>
  <c r="AZ115" i="3" s="1"/>
  <c r="BA118" i="3"/>
  <c r="BL118" i="3"/>
  <c r="BA122" i="3"/>
  <c r="AZ122" i="3" s="1"/>
  <c r="BA144" i="3"/>
  <c r="AZ144" i="3" s="1"/>
  <c r="BA164"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AZ49" i="3"/>
  <c r="AZ70" i="3"/>
  <c r="U21" i="33"/>
  <c r="AB21" i="33"/>
  <c r="T28" i="71"/>
  <c r="D28" i="71"/>
  <c r="U28" i="71" s="1"/>
  <c r="C27" i="71"/>
  <c r="C60" i="71"/>
  <c r="D59" i="71"/>
  <c r="F66" i="71"/>
  <c r="Q67" i="71"/>
  <c r="V24" i="71"/>
  <c r="E23" i="71"/>
  <c r="E22" i="71" s="1"/>
  <c r="E21" i="71" s="1"/>
  <c r="E20" i="71" s="1"/>
  <c r="E19" i="71" s="1"/>
  <c r="E18" i="71" s="1"/>
  <c r="E17" i="71" s="1"/>
  <c r="E16" i="71" s="1"/>
  <c r="BA80" i="3"/>
  <c r="BL84" i="3"/>
  <c r="BA89" i="3"/>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44" i="3"/>
  <c r="BA45" i="3"/>
  <c r="AZ45" i="3" s="1"/>
  <c r="BA46" i="3"/>
  <c r="AZ46" i="3" s="1"/>
  <c r="BL49" i="3"/>
  <c r="BL50" i="3"/>
  <c r="AZ50" i="3" s="1"/>
  <c r="BL51" i="3"/>
  <c r="G53" i="3"/>
  <c r="BL53" i="3"/>
  <c r="AZ53" i="3" s="1"/>
  <c r="BA56" i="3"/>
  <c r="BA57" i="3"/>
  <c r="AZ57" i="3" s="1"/>
  <c r="BL58" i="3"/>
  <c r="G60" i="3"/>
  <c r="BA60" i="3"/>
  <c r="AZ60" i="3" s="1"/>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8" i="3"/>
  <c r="W35" i="39"/>
  <c r="F27" i="34"/>
  <c r="C21" i="39"/>
  <c r="U9" i="36"/>
  <c r="U14" i="37"/>
  <c r="H12" i="21"/>
  <c r="G526" i="3"/>
  <c r="AZ420" i="3"/>
  <c r="AZ424" i="3"/>
  <c r="AZ434" i="3"/>
  <c r="AZ436" i="3"/>
  <c r="AZ446" i="3"/>
  <c r="G28" i="6"/>
  <c r="E28" i="6" s="1"/>
  <c r="K14" i="1" s="1"/>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AZ279" i="3" s="1"/>
  <c r="BL281" i="3"/>
  <c r="AZ281" i="3" s="1"/>
  <c r="BA285" i="3"/>
  <c r="AZ285" i="3" s="1"/>
  <c r="BA287" i="3"/>
  <c r="AZ290"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BA206" i="3"/>
  <c r="AZ206" i="3" s="1"/>
  <c r="BL22" i="3"/>
  <c r="AZ22" i="3" s="1"/>
  <c r="BL33" i="3"/>
  <c r="AZ33" i="3" s="1"/>
  <c r="BL43" i="3"/>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66" i="15"/>
  <c r="F64" i="15"/>
  <c r="C27" i="15"/>
  <c r="F65" i="15"/>
  <c r="B13" i="70"/>
  <c r="C36" i="68"/>
  <c r="D9" i="68"/>
  <c r="D9" i="69"/>
  <c r="C76" i="67"/>
  <c r="M23" i="67"/>
  <c r="M22" i="67"/>
  <c r="J15" i="67"/>
  <c r="M24" i="67"/>
  <c r="M28" i="67"/>
  <c r="F16" i="15"/>
  <c r="C76" i="15"/>
  <c r="F43" i="15"/>
  <c r="L47" i="15"/>
  <c r="L48" i="67"/>
  <c r="M9" i="67"/>
  <c r="F36" i="67"/>
  <c r="F9" i="67"/>
  <c r="F13" i="67"/>
  <c r="L47" i="67"/>
  <c r="F40" i="15"/>
  <c r="D4" i="73"/>
  <c r="F6" i="15"/>
  <c r="D3" i="73"/>
  <c r="M26" i="67"/>
  <c r="F40" i="67"/>
  <c r="F6" i="67"/>
  <c r="F26" i="67"/>
  <c r="F42" i="67"/>
  <c r="F38" i="67"/>
  <c r="M28" i="15"/>
  <c r="M22" i="15"/>
  <c r="D7" i="73"/>
  <c r="F8" i="15"/>
  <c r="C36" i="69"/>
  <c r="M8" i="67"/>
  <c r="F8" i="67"/>
  <c r="M6" i="67"/>
  <c r="F37" i="67"/>
  <c r="F16" i="67"/>
  <c r="M24" i="15"/>
  <c r="M9" i="15"/>
  <c r="F42" i="15"/>
  <c r="D5" i="73"/>
  <c r="M23" i="15"/>
  <c r="B24" i="31" l="1"/>
  <c r="F19" i="6"/>
  <c r="E19" i="6" s="1"/>
  <c r="F27" i="6"/>
  <c r="E26" i="43"/>
  <c r="G26" i="43"/>
  <c r="N94" i="46"/>
  <c r="J26" i="43"/>
  <c r="N370" i="46"/>
  <c r="F66" i="67"/>
  <c r="L58" i="67"/>
  <c r="Q60" i="67" s="1"/>
  <c r="M59" i="67"/>
  <c r="L59" i="67"/>
  <c r="Q61" i="67" s="1"/>
  <c r="N59" i="67"/>
  <c r="F65" i="67"/>
  <c r="C27" i="67"/>
  <c r="F51" i="67"/>
  <c r="F68" i="67"/>
  <c r="F64" i="67"/>
  <c r="Q71" i="67"/>
  <c r="I54" i="67"/>
  <c r="L56" i="67"/>
  <c r="J53" i="67"/>
  <c r="F1" i="67" s="1"/>
  <c r="J57" i="67"/>
  <c r="J55" i="67" s="1"/>
  <c r="J58" i="67" s="1"/>
  <c r="Q50" i="67" s="1"/>
  <c r="G30" i="6"/>
  <c r="G31" i="6" s="1"/>
  <c r="E59" i="40"/>
  <c r="Q71" i="15"/>
  <c r="F71" i="15"/>
  <c r="F51" i="15"/>
  <c r="C49" i="15" s="1"/>
  <c r="F68" i="15"/>
  <c r="L58" i="15"/>
  <c r="Q60" i="15" s="1"/>
  <c r="N59" i="15"/>
  <c r="M59" i="15"/>
  <c r="L59" i="15"/>
  <c r="Q61" i="15" s="1"/>
  <c r="F31" i="15"/>
  <c r="C6" i="15"/>
  <c r="C40" i="71"/>
  <c r="D39" i="71"/>
  <c r="D75" i="71"/>
  <c r="C74" i="71"/>
  <c r="D74" i="71" s="1"/>
  <c r="C52" i="71"/>
  <c r="D51" i="71"/>
  <c r="O65" i="71"/>
  <c r="D66" i="71"/>
  <c r="O66" i="71"/>
  <c r="C36" i="71"/>
  <c r="D35" i="71"/>
  <c r="AC39" i="40"/>
  <c r="W39" i="40"/>
  <c r="AA23" i="36"/>
  <c r="S23" i="36"/>
  <c r="AC23" i="36"/>
  <c r="W23" i="36"/>
  <c r="U38" i="37"/>
  <c r="AB38" i="37"/>
  <c r="AZ550" i="3"/>
  <c r="AA37" i="39"/>
  <c r="S37" i="39"/>
  <c r="AZ112" i="3"/>
  <c r="G5" i="3"/>
  <c r="B3" i="3" s="1"/>
  <c r="E281" i="3" s="1"/>
  <c r="AZ43" i="3"/>
  <c r="AZ36" i="3"/>
  <c r="AZ482" i="3"/>
  <c r="AZ215" i="3"/>
  <c r="AZ84" i="3"/>
  <c r="D79" i="71"/>
  <c r="C78" i="71"/>
  <c r="D78" i="71" s="1"/>
  <c r="D60" i="71"/>
  <c r="T60" i="71"/>
  <c r="AZ29" i="3"/>
  <c r="AZ25" i="3"/>
  <c r="AZ197" i="3"/>
  <c r="AZ274" i="3"/>
  <c r="AZ267" i="3"/>
  <c r="AZ249" i="3"/>
  <c r="AZ241" i="3"/>
  <c r="AZ484" i="3"/>
  <c r="AZ476" i="3"/>
  <c r="AZ401" i="3"/>
  <c r="AZ429" i="3"/>
  <c r="AC28" i="33"/>
  <c r="W28" i="33"/>
  <c r="AB23" i="36"/>
  <c r="U23" i="36"/>
  <c r="AC37" i="39"/>
  <c r="W37" i="39"/>
  <c r="J7" i="36"/>
  <c r="AC7" i="36" s="1"/>
  <c r="V36" i="36" s="1"/>
  <c r="I36" i="36" s="1"/>
  <c r="AZ107" i="3"/>
  <c r="AZ26" i="3"/>
  <c r="AZ129" i="3"/>
  <c r="AZ246" i="3"/>
  <c r="D83" i="71"/>
  <c r="C82" i="71"/>
  <c r="D82" i="71" s="1"/>
  <c r="C26" i="71"/>
  <c r="D26" i="71" s="1"/>
  <c r="D27" i="71"/>
  <c r="T32" i="71"/>
  <c r="D32" i="71"/>
  <c r="AZ21" i="3"/>
  <c r="AZ190" i="3"/>
  <c r="AZ367" i="3"/>
  <c r="U23" i="35"/>
  <c r="AB23" i="35"/>
  <c r="W12" i="34"/>
  <c r="AC12" i="34"/>
  <c r="U28" i="33"/>
  <c r="AB28" i="33"/>
  <c r="W31" i="39"/>
  <c r="AC31" i="39"/>
  <c r="J6" i="15"/>
  <c r="J18" i="15" s="1"/>
  <c r="AZ296" i="3"/>
  <c r="AZ287" i="3"/>
  <c r="AZ71" i="3"/>
  <c r="C70" i="71"/>
  <c r="D70" i="71" s="1"/>
  <c r="D71" i="71"/>
  <c r="AZ28" i="3"/>
  <c r="AZ118" i="3"/>
  <c r="AZ58" i="3"/>
  <c r="AZ280" i="3"/>
  <c r="AZ59" i="3"/>
  <c r="AZ271" i="3"/>
  <c r="C56" i="71"/>
  <c r="D55" i="71"/>
  <c r="AZ286" i="3"/>
  <c r="AZ239" i="3"/>
  <c r="AZ243" i="3"/>
  <c r="AZ453" i="3"/>
  <c r="U39" i="40"/>
  <c r="AB39" i="40"/>
  <c r="AA25" i="37"/>
  <c r="S25" i="37"/>
  <c r="AB9" i="34"/>
  <c r="U9" i="34"/>
  <c r="AB31" i="39"/>
  <c r="U31" i="39"/>
  <c r="AA28" i="37"/>
  <c r="S28" i="37"/>
  <c r="J7" i="37"/>
  <c r="W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F7" i="33"/>
  <c r="E58" i="21"/>
  <c r="W7" i="36"/>
  <c r="F7" i="37"/>
  <c r="M17" i="15"/>
  <c r="P28" i="43"/>
  <c r="B66" i="40" s="1"/>
  <c r="P25" i="43"/>
  <c r="P29" i="43"/>
  <c r="P27" i="43"/>
  <c r="B70" i="39" s="1"/>
  <c r="C32" i="67"/>
  <c r="M11" i="67"/>
  <c r="J10" i="67" s="1"/>
  <c r="F11" i="15"/>
  <c r="M11" i="15"/>
  <c r="J10" i="15" s="1"/>
  <c r="F11" i="67"/>
  <c r="F1" i="15"/>
  <c r="Q52" i="15"/>
  <c r="C32" i="15"/>
  <c r="AE11" i="1"/>
  <c r="AE9" i="1"/>
  <c r="AE7" i="1"/>
  <c r="AE8" i="1"/>
  <c r="AE12" i="1"/>
  <c r="AE10" i="1"/>
  <c r="G1" i="73"/>
  <c r="AE6" i="1"/>
  <c r="F27" i="69"/>
  <c r="C16" i="15"/>
  <c r="F41" i="67"/>
  <c r="D33" i="43" l="1"/>
  <c r="D1" i="43" s="1"/>
  <c r="K6" i="1"/>
  <c r="B22" i="31"/>
  <c r="B14" i="74" s="1"/>
  <c r="C25" i="31"/>
  <c r="C30" i="31"/>
  <c r="C27" i="31"/>
  <c r="C29" i="31"/>
  <c r="C28" i="31"/>
  <c r="C26" i="31"/>
  <c r="C47" i="69"/>
  <c r="D45" i="69" s="1"/>
  <c r="F45" i="69"/>
  <c r="Q73" i="67"/>
  <c r="Q52" i="67"/>
  <c r="Q74" i="67"/>
  <c r="C29" i="69"/>
  <c r="D27" i="69" s="1"/>
  <c r="E72" i="3"/>
  <c r="E484" i="3"/>
  <c r="E558" i="3"/>
  <c r="E69" i="3"/>
  <c r="E93" i="3"/>
  <c r="E77" i="3"/>
  <c r="E346" i="3"/>
  <c r="E322" i="3"/>
  <c r="E185" i="3"/>
  <c r="E453" i="3"/>
  <c r="E73" i="3"/>
  <c r="E154" i="3"/>
  <c r="E326" i="3"/>
  <c r="E400" i="3"/>
  <c r="E305" i="3"/>
  <c r="E114" i="3"/>
  <c r="E238" i="3"/>
  <c r="E138" i="3"/>
  <c r="E456" i="3"/>
  <c r="E200" i="3"/>
  <c r="E454" i="3"/>
  <c r="E477" i="3"/>
  <c r="N6" i="3"/>
  <c r="E97" i="3"/>
  <c r="E176" i="3"/>
  <c r="E539" i="3"/>
  <c r="E536" i="3"/>
  <c r="E499" i="3"/>
  <c r="E541" i="3"/>
  <c r="E554" i="3"/>
  <c r="E479"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212" i="3"/>
  <c r="R6" i="3"/>
  <c r="E449" i="3"/>
  <c r="E517"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199" i="3"/>
  <c r="E255"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42" i="3"/>
  <c r="E241" i="3"/>
  <c r="E409" i="3"/>
  <c r="E67" i="3"/>
  <c r="E198" i="3"/>
  <c r="E18" i="3"/>
  <c r="E22" i="3"/>
  <c r="E115" i="3"/>
  <c r="E158" i="3"/>
  <c r="E422" i="3"/>
  <c r="E276" i="3"/>
  <c r="E234" i="3"/>
  <c r="E62" i="3"/>
  <c r="E141" i="3"/>
  <c r="E244" i="3"/>
  <c r="E149" i="3"/>
  <c r="E163" i="3"/>
  <c r="E127" i="3"/>
  <c r="E537" i="3"/>
  <c r="E411" i="3"/>
  <c r="E285" i="3"/>
  <c r="E302" i="3"/>
  <c r="AN6" i="3"/>
  <c r="E262" i="3"/>
  <c r="E344" i="3"/>
  <c r="E274" i="3"/>
  <c r="E443" i="3"/>
  <c r="E295" i="3"/>
  <c r="E282" i="3"/>
  <c r="E358" i="3"/>
  <c r="E130" i="3"/>
  <c r="E61" i="3"/>
  <c r="E253" i="3"/>
  <c r="E511" i="3"/>
  <c r="E433" i="3"/>
  <c r="E279" i="3"/>
  <c r="E414" i="3"/>
  <c r="E186" i="3"/>
  <c r="E343" i="3"/>
  <c r="E270" i="3"/>
  <c r="E216" i="3"/>
  <c r="E586" i="3"/>
  <c r="E545" i="3"/>
  <c r="E468" i="3"/>
  <c r="E171" i="3"/>
  <c r="E485" i="3"/>
  <c r="E182" i="3"/>
  <c r="E268" i="3"/>
  <c r="E311" i="3"/>
  <c r="AB6" i="3"/>
  <c r="E172" i="3"/>
  <c r="E483" i="3"/>
  <c r="E142" i="3"/>
  <c r="E510" i="3"/>
  <c r="E466" i="3"/>
  <c r="E417" i="3"/>
  <c r="E292" i="3"/>
  <c r="E575" i="3"/>
  <c r="I3" i="6"/>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435" i="3"/>
  <c r="E267" i="3"/>
  <c r="E63" i="3"/>
  <c r="E34" i="3"/>
  <c r="E405" i="3"/>
  <c r="E497" i="3"/>
  <c r="E220" i="3"/>
  <c r="E105" i="3"/>
  <c r="E401" i="3"/>
  <c r="E473" i="3"/>
  <c r="E112" i="3"/>
  <c r="E58" i="3"/>
  <c r="E446" i="3"/>
  <c r="E584" i="3"/>
  <c r="E87" i="3"/>
  <c r="E224" i="3"/>
  <c r="E14" i="3"/>
  <c r="E92" i="3"/>
  <c r="E319" i="3"/>
  <c r="E321" i="3"/>
  <c r="E156" i="3"/>
  <c r="Q6" i="3"/>
  <c r="E55" i="3"/>
  <c r="I6" i="3"/>
  <c r="E576" i="3"/>
  <c r="E404" i="3"/>
  <c r="E480" i="3"/>
  <c r="E569" i="3"/>
  <c r="E407" i="3"/>
  <c r="E260" i="3"/>
  <c r="E518" i="3"/>
  <c r="E519" i="3"/>
  <c r="E457" i="3"/>
  <c r="E567" i="3"/>
  <c r="E107" i="3"/>
  <c r="E476" i="3"/>
  <c r="E44" i="3"/>
  <c r="E555" i="3"/>
  <c r="E538" i="3"/>
  <c r="E183" i="3"/>
  <c r="E91" i="3"/>
  <c r="E347" i="3"/>
  <c r="E133" i="3"/>
  <c r="E406" i="3"/>
  <c r="E74" i="3"/>
  <c r="E204" i="3"/>
  <c r="E531" i="3"/>
  <c r="E572" i="3"/>
  <c r="E579" i="3"/>
  <c r="E189" i="3"/>
  <c r="E135" i="3"/>
  <c r="AI6" i="3"/>
  <c r="E100" i="3"/>
  <c r="E132" i="3"/>
  <c r="E240" i="3"/>
  <c r="E385" i="3"/>
  <c r="E387" i="3"/>
  <c r="E109" i="3"/>
  <c r="E327" i="3"/>
  <c r="E465" i="3"/>
  <c r="E495" i="3"/>
  <c r="E439" i="3"/>
  <c r="E441" i="3"/>
  <c r="E585" i="3"/>
  <c r="E562" i="3"/>
  <c r="E293" i="3"/>
  <c r="E320" i="3"/>
  <c r="E125" i="3"/>
  <c r="AG6" i="3"/>
  <c r="AE6" i="3"/>
  <c r="E353" i="3"/>
  <c r="E501" i="3"/>
  <c r="E471" i="3"/>
  <c r="E66" i="3"/>
  <c r="E312" i="3"/>
  <c r="E123" i="3"/>
  <c r="E463" i="3"/>
  <c r="E324" i="3"/>
  <c r="E205" i="3"/>
  <c r="E81" i="3"/>
  <c r="E191" i="3"/>
  <c r="E514" i="3"/>
  <c r="E211" i="3"/>
  <c r="E227" i="3"/>
  <c r="K6" i="3"/>
  <c r="E134" i="3"/>
  <c r="E533" i="3"/>
  <c r="E210" i="3"/>
  <c r="E549" i="3"/>
  <c r="E573" i="3"/>
  <c r="E245" i="3"/>
  <c r="E559" i="3"/>
  <c r="E316" i="3"/>
  <c r="E236" i="3"/>
  <c r="E437" i="3"/>
  <c r="E221" i="3"/>
  <c r="E126" i="3"/>
  <c r="E313" i="3"/>
  <c r="E341" i="3"/>
  <c r="E521" i="3"/>
  <c r="E299" i="3"/>
  <c r="E440" i="3"/>
  <c r="E225" i="3"/>
  <c r="E206" i="3"/>
  <c r="E33" i="3"/>
  <c r="E118" i="3"/>
  <c r="E487" i="3"/>
  <c r="E296" i="3"/>
  <c r="E445" i="3"/>
  <c r="E431" i="3"/>
  <c r="E489" i="3"/>
  <c r="E214" i="3"/>
  <c r="AK6" i="3"/>
  <c r="E361" i="3"/>
  <c r="E410" i="3"/>
  <c r="E447" i="3"/>
  <c r="E351" i="3"/>
  <c r="E99" i="3"/>
  <c r="E550" i="3"/>
  <c r="E396" i="3"/>
  <c r="E88" i="3"/>
  <c r="E394" i="3"/>
  <c r="E120" i="3"/>
  <c r="E298" i="3"/>
  <c r="E548" i="3"/>
  <c r="E82" i="3"/>
  <c r="E464" i="3"/>
  <c r="E552" i="3"/>
  <c r="E15" i="3"/>
  <c r="E393" i="3"/>
  <c r="E13" i="3"/>
  <c r="E96" i="3"/>
  <c r="E249" i="3"/>
  <c r="Q73" i="15"/>
  <c r="AY6" i="3"/>
  <c r="F59" i="15"/>
  <c r="U7" i="36"/>
  <c r="Q74" i="15"/>
  <c r="J5" i="15"/>
  <c r="J24" i="15" s="1"/>
  <c r="E37" i="3"/>
  <c r="E491" i="3"/>
  <c r="AP6" i="3"/>
  <c r="E430" i="3"/>
  <c r="E502" i="3"/>
  <c r="E286" i="3"/>
  <c r="D56" i="71"/>
  <c r="T56" i="71"/>
  <c r="T52" i="71"/>
  <c r="D52" i="71"/>
  <c r="T40" i="71"/>
  <c r="D40" i="71"/>
  <c r="R36" i="36"/>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7" i="67"/>
  <c r="M29" i="67"/>
  <c r="F43" i="67"/>
  <c r="F41" i="15"/>
  <c r="M27" i="15"/>
  <c r="M27" i="67"/>
  <c r="C16" i="67"/>
  <c r="F71" i="67" l="1"/>
  <c r="F31" i="67"/>
  <c r="C6" i="67"/>
  <c r="C10" i="67" s="1"/>
  <c r="C5" i="67" s="1"/>
  <c r="C38" i="67" s="1"/>
  <c r="M7" i="67"/>
  <c r="F50" i="67"/>
  <c r="AP6" i="1"/>
  <c r="M6" i="1"/>
  <c r="H16" i="1"/>
  <c r="Q16" i="1"/>
  <c r="K16" i="1"/>
  <c r="G16" i="1"/>
  <c r="F25" i="12"/>
  <c r="H6" i="3"/>
  <c r="AC6"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60" i="67"/>
  <c r="D10" i="68"/>
  <c r="C34" i="69"/>
  <c r="C17" i="67"/>
  <c r="C14" i="67"/>
  <c r="D10" i="69"/>
  <c r="C17" i="15"/>
  <c r="F10" i="39" l="1"/>
  <c r="F10" i="40"/>
  <c r="J10" i="39"/>
  <c r="H10" i="39"/>
  <c r="H10" i="40"/>
  <c r="J10" i="40"/>
  <c r="O6" i="1"/>
  <c r="O16" i="1" s="1"/>
  <c r="M16" i="1"/>
  <c r="J6" i="67"/>
  <c r="M17" i="67"/>
  <c r="M19" i="9"/>
  <c r="C118" i="9" s="1"/>
  <c r="B2" i="74" s="1"/>
  <c r="F27" i="68"/>
  <c r="F27" i="11"/>
  <c r="F28" i="12"/>
  <c r="C29" i="12" s="1"/>
  <c r="D28" i="12" s="1"/>
  <c r="F59" i="67"/>
  <c r="C49" i="67"/>
  <c r="C48" i="67" s="1"/>
  <c r="C66" i="67" s="1"/>
  <c r="C26" i="11"/>
  <c r="D22" i="11" s="1"/>
  <c r="E6" i="3"/>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C10" i="40" l="1"/>
  <c r="W10" i="40"/>
  <c r="S10" i="40"/>
  <c r="AA10" i="40"/>
  <c r="C29" i="11"/>
  <c r="D27" i="11" s="1"/>
  <c r="C47" i="11"/>
  <c r="D45" i="11" s="1"/>
  <c r="J18" i="67"/>
  <c r="J5" i="67"/>
  <c r="J24" i="67" s="1"/>
  <c r="AB10" i="40"/>
  <c r="U10" i="40"/>
  <c r="S10" i="39"/>
  <c r="AA10" i="39"/>
  <c r="C47" i="68"/>
  <c r="D45" i="68" s="1"/>
  <c r="C29" i="68"/>
  <c r="D27" i="68" s="1"/>
  <c r="F45" i="68"/>
  <c r="L16" i="1"/>
  <c r="N16" i="1"/>
  <c r="U10" i="39"/>
  <c r="AB10" i="39"/>
  <c r="C28" i="11"/>
  <c r="C27" i="11" s="1"/>
  <c r="W10" i="39"/>
  <c r="AC10" i="39"/>
  <c r="C22"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F50" i="69"/>
  <c r="F50" i="68"/>
  <c r="F50" i="1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19" i="9"/>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6" i="1"/>
  <c r="AO9" i="1"/>
  <c r="AO7" i="1"/>
  <c r="AO8" i="1"/>
  <c r="D20" i="9"/>
  <c r="AO11"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s="1"/>
  <c r="B52" i="72" s="1"/>
  <c r="I4" i="52" l="1"/>
  <c r="R24" i="31"/>
  <c r="C105" i="9"/>
  <c r="F118" i="9"/>
  <c r="H118" i="9"/>
  <c r="E118" i="9"/>
  <c r="H102" i="9"/>
  <c r="S24" i="31" l="1"/>
  <c r="R27" i="31"/>
  <c r="S27" i="31" s="1"/>
  <c r="R25" i="31"/>
  <c r="S25" i="31" s="1"/>
  <c r="R30" i="31"/>
  <c r="S30" i="31" s="1"/>
  <c r="R28" i="31"/>
  <c r="S28" i="31" s="1"/>
  <c r="R26" i="31"/>
  <c r="S26" i="31" s="1"/>
  <c r="R29" i="31"/>
  <c r="S29" i="31" s="1"/>
  <c r="H4" i="52"/>
  <c r="C104" i="9"/>
  <c r="H119" i="9"/>
  <c r="H5" i="52" s="1"/>
  <c r="H101" i="9"/>
  <c r="E4" i="52"/>
  <c r="B48" i="72" s="1"/>
  <c r="D118" i="9"/>
  <c r="F4" i="52"/>
  <c r="B51" i="72" s="1"/>
  <c r="F119" i="9"/>
  <c r="F5" i="52" s="1"/>
  <c r="B53" i="72" s="1"/>
  <c r="D7" i="53"/>
  <c r="B21" i="72" s="1"/>
  <c r="S22" i="31" l="1"/>
  <c r="H107" i="9"/>
  <c r="M48" i="9"/>
  <c r="D45" i="9"/>
  <c r="D5" i="53"/>
  <c r="D119" i="9"/>
  <c r="D5" i="52" s="1"/>
  <c r="B49" i="72" s="1"/>
  <c r="D4" i="52"/>
  <c r="B47" i="72" s="1"/>
  <c r="R22" i="31" l="1"/>
  <c r="B20" i="31"/>
  <c r="C93" i="9"/>
  <c r="C86" i="9" s="1"/>
  <c r="D53" i="9"/>
  <c r="C85" i="9"/>
  <c r="C78" i="9"/>
  <c r="C73" i="9" s="1"/>
  <c r="C64" i="9"/>
  <c r="C63" i="9" s="1"/>
  <c r="C67" i="9" s="1"/>
  <c r="C72" i="9"/>
  <c r="D52" i="9"/>
  <c r="D55" i="9"/>
  <c r="M53" i="9" s="1"/>
  <c r="D6" i="53"/>
  <c r="B22" i="72" s="1"/>
  <c r="B20" i="72"/>
  <c r="M49" i="9"/>
  <c r="D13" i="53"/>
  <c r="D122" i="9"/>
  <c r="H108" i="9"/>
  <c r="B21" i="31" l="1"/>
  <c r="D14" i="74"/>
  <c r="G14" i="74" s="1"/>
  <c r="B6" i="74" s="1"/>
  <c r="D6" i="74" s="1"/>
  <c r="C95" i="9"/>
  <c r="C96" i="9"/>
  <c r="E96" i="9" s="1"/>
  <c r="E97" i="9" s="1"/>
  <c r="D123" i="9"/>
  <c r="D9" i="52" s="1"/>
  <c r="D8" i="52"/>
  <c r="B30" i="72"/>
  <c r="D14" i="53"/>
  <c r="B32" i="72" s="1"/>
  <c r="L63" i="9"/>
  <c r="M63" i="9" s="1"/>
  <c r="L65" i="9"/>
  <c r="M65" i="9" s="1"/>
  <c r="L68" i="9"/>
  <c r="M68" i="9" s="1"/>
  <c r="L67" i="9"/>
  <c r="M67" i="9" s="1"/>
  <c r="L66" i="9"/>
  <c r="M66" i="9" s="1"/>
  <c r="L64" i="9"/>
  <c r="M64" i="9" s="1"/>
  <c r="D15" i="53"/>
  <c r="B31" i="72" s="1"/>
  <c r="C6" i="74"/>
  <c r="C79" i="9"/>
  <c r="D59" i="9"/>
  <c r="M55" i="9" s="1"/>
  <c r="C68" i="9"/>
  <c r="D54" i="9" s="1"/>
  <c r="E14" i="74" l="1"/>
  <c r="F14" i="74"/>
  <c r="B5" i="74"/>
  <c r="M69" i="9"/>
  <c r="N69" i="9" s="1"/>
  <c r="C97" i="9"/>
  <c r="D58" i="9" s="1"/>
  <c r="D56" i="9" s="1"/>
  <c r="M54" i="9" s="1"/>
  <c r="N57" i="9" s="1"/>
  <c r="C80" i="9"/>
  <c r="E80" i="9" s="1"/>
  <c r="E81" i="9" s="1"/>
  <c r="D5" i="74" l="1"/>
  <c r="C5" i="74"/>
  <c r="P57" i="9"/>
  <c r="N58"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<sst xmlns="http://schemas.openxmlformats.org/spreadsheetml/2006/main" count="7908" uniqueCount="3455">
  <si>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</si>
  <si>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</si>
  <si>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</si>
  <si>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</si>
  <si>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</si>
  <si>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</si>
  <si>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</si>
  <si>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</si>
  <si>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</si>
  <si>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</si>
  <si>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</si>
  <si>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</si>
  <si>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</si>
  <si>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</si>
  <si>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</si>
  <si>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</si>
  <si>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</si>
  <si>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</si>
  <si>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</si>
  <si>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</si>
  <si>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</si>
  <si>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</si>
  <si>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</si>
  <si>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</si>
  <si>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</si>
  <si>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</si>
  <si>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</si>
  <si>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</si>
  <si>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</si>
  <si>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</si>
  <si>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</si>
  <si>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</si>
  <si>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</si>
  <si>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</si>
  <si>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</si>
  <si>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</si>
  <si>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</si>
  <si>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</si>
  <si>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</si>
  <si>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</si>
  <si>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</si>
  <si>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</si>
  <si>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</si>
  <si>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</si>
  <si>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</si>
  <si>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</si>
  <si>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</si>
  <si>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</si>
  <si>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</si>
  <si>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</si>
  <si>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</si>
  <si>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</si>
  <si>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</si>
  <si>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</si>
  <si>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</si>
  <si>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</si>
  <si>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</si>
  <si>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</si>
  <si>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</si>
  <si>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</si>
  <si>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</si>
  <si>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</si>
  <si>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</si>
  <si>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</si>
  <si>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</si>
  <si>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</si>
  <si>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</si>
  <si>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</si>
  <si>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</si>
  <si>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</si>
  <si>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</si>
  <si>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</si>
  <si>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</si>
  <si>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</si>
  <si>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</si>
  <si>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</si>
  <si>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</si>
  <si>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</si>
  <si>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</si>
  <si>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</si>
  <si>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</si>
  <si>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</si>
  <si>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</si>
  <si>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</si>
  <si>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</si>
  <si>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</si>
  <si>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</si>
  <si>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</si>
  <si>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</si>
  <si>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</si>
  <si>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</si>
  <si>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</si>
  <si>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</si>
  <si>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</si>
  <si>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</si>
  <si>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</si>
  <si>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</si>
  <si>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</si>
  <si>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</si>
  <si>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</si>
  <si>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</si>
  <si>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</si>
  <si>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</si>
  <si>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</si>
  <si>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</si>
  <si>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</si>
  <si>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</si>
  <si>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</si>
  <si>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</si>
  <si>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</si>
  <si>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</si>
  <si>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</si>
  <si>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</si>
  <si>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</si>
  <si>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</si>
  <si>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</si>
  <si>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</si>
  <si>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</si>
  <si>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</si>
  <si>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</si>
  <si>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</si>
  <si>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</si>
  <si>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</si>
  <si>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</si>
  <si>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</si>
  <si>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</si>
  <si>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</si>
  <si>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</si>
  <si>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</si>
  <si>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</si>
  <si>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</si>
  <si>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</si>
  <si>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</si>
  <si>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</si>
  <si>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</si>
  <si>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</si>
  <si>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</si>
  <si>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</si>
  <si>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</si>
  <si>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</si>
  <si>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</si>
  <si>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</si>
  <si>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</si>
  <si>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</si>
  <si>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</si>
  <si>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</si>
  <si>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</si>
  <si>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</si>
  <si>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</si>
  <si>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</si>
  <si>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</si>
  <si>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</si>
  <si>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</si>
  <si>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</si>
  <si>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</si>
  <si>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</si>
  <si>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</si>
  <si>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</si>
  <si>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</si>
  <si>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</si>
  <si>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</si>
  <si>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</si>
  <si>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</si>
  <si>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</si>
  <si>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</si>
  <si>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</si>
  <si>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</si>
  <si>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</si>
  <si>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</si>
  <si>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</si>
  <si>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</si>
  <si>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</si>
  <si>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</si>
  <si>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</si>
  <si>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</si>
  <si>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</si>
  <si>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</si>
  <si>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</si>
  <si>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</si>
  <si>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</si>
  <si>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</si>
  <si>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</si>
  <si>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</si>
  <si>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</si>
  <si>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</si>
  <si>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</si>
  <si>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</si>
  <si>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</si>
  <si>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</si>
  <si>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</si>
  <si>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</si>
  <si>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</si>
  <si>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</si>
  <si>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</si>
  <si>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</si>
  <si>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</si>
  <si>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</si>
  <si>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</si>
  <si>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</si>
  <si>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</si>
  <si>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</si>
  <si>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</si>
  <si>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</si>
  <si>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</si>
  <si>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</si>
  <si>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</si>
  <si>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</si>
  <si>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</si>
  <si>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</si>
  <si>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</si>
  <si>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</si>
  <si>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</si>
  <si>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</si>
  <si>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</si>
  <si>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</si>
  <si>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</si>
  <si>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</si>
  <si>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</si>
  <si>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</si>
  <si>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</si>
  <si>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</si>
  <si>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</si>
  <si>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</si>
  <si>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</si>
  <si>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</si>
  <si>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</si>
  <si>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</si>
  <si>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</si>
  <si>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</si>
  <si>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</si>
  <si>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</si>
  <si>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</si>
  <si>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</si>
  <si>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</si>
  <si>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</si>
  <si>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</si>
  <si>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</si>
  <si>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</si>
  <si>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</si>
  <si>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</si>
  <si>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</si>
  <si>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</si>
  <si>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</si>
  <si>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</si>
  <si>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</si>
  <si>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</si>
  <si>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</si>
  <si>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</si>
  <si>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</si>
  <si>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</si>
  <si>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</si>
  <si>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</si>
  <si>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</si>
  <si>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</si>
  <si>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</si>
  <si>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</si>
  <si>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</si>
  <si>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</si>
  <si>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</si>
  <si>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</si>
  <si>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</si>
  <si>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</si>
  <si>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</si>
  <si>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</si>
  <si>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</si>
  <si>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</si>
  <si>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</si>
  <si>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</si>
  <si>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</si>
  <si>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</si>
  <si>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</si>
  <si>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</si>
  <si>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</si>
  <si>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</si>
  <si>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</si>
  <si>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</si>
  <si>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</si>
  <si>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</si>
  <si>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</si>
  <si>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</si>
  <si>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</si>
  <si>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</si>
  <si>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</si>
  <si>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</si>
  <si>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</si>
  <si>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</si>
  <si>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</si>
  <si>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</si>
  <si>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</si>
  <si>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</si>
  <si>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</si>
  <si>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</si>
  <si>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</si>
  <si>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</si>
  <si>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</si>
  <si>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</si>
  <si>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</si>
  <si>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</si>
  <si>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</si>
  <si>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</si>
  <si>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</si>
  <si>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</si>
  <si>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</si>
  <si>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</si>
  <si>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</si>
  <si>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</si>
  <si>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</si>
  <si>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</si>
  <si>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</si>
  <si>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</si>
  <si>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</si>
  <si>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</si>
  <si>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</si>
  <si>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</si>
  <si>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</si>
  <si>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</si>
  <si>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</si>
  <si>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</si>
  <si>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</si>
  <si>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</si>
  <si>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</si>
  <si>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</si>
  <si>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</si>
  <si>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</si>
  <si>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</si>
  <si>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</si>
  <si>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</si>
  <si>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</si>
  <si>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</si>
  <si>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</si>
  <si>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</si>
  <si>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</si>
  <si>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</si>
  <si>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</si>
  <si>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</si>
  <si>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</si>
  <si>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</si>
  <si>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</si>
  <si>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</si>
  <si>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</si>
  <si>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</si>
  <si>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</si>
  <si>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</si>
  <si>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</si>
  <si>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</si>
  <si>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</si>
  <si>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</si>
  <si>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</si>
  <si>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</si>
  <si>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</si>
  <si>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</si>
  <si>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</si>
  <si>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</si>
  <si>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</si>
  <si>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</si>
  <si>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</si>
  <si>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</si>
  <si>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</si>
  <si>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</si>
  <si>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</si>
  <si>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</si>
  <si>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</si>
  <si>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</si>
  <si>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</si>
  <si>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</si>
  <si>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</si>
  <si>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</si>
  <si>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</si>
  <si>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</si>
  <si>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</si>
  <si>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</si>
  <si>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</si>
  <si>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</si>
  <si>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</si>
  <si>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</si>
  <si>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</si>
  <si>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</si>
  <si>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</si>
  <si>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</si>
  <si>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</si>
  <si>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</si>
  <si>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</si>
  <si>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</si>
  <si>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</si>
  <si>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</si>
  <si>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</si>
  <si>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</si>
  <si>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</si>
  <si>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</si>
  <si>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</si>
  <si>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</si>
  <si>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</si>
  <si>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</si>
  <si>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</si>
  <si>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</si>
  <si>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</si>
  <si>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</si>
  <si>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</si>
  <si>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</si>
  <si>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</si>
  <si>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</si>
  <si>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</si>
  <si>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</si>
  <si>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</si>
  <si>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</si>
  <si>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</si>
  <si>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</si>
  <si>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</si>
  <si>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</si>
  <si>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</si>
  <si>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</si>
  <si>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</si>
  <si>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</si>
  <si>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</si>
  <si>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</si>
  <si>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</si>
  <si>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</si>
  <si>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</si>
  <si>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</si>
  <si>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</si>
  <si>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</si>
  <si>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</si>
  <si>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</si>
  <si>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</si>
  <si>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</si>
  <si>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</si>
  <si>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</si>
  <si>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</si>
  <si>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</si>
  <si>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</si>
  <si>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</si>
  <si>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</si>
  <si>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</si>
  <si>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</si>
  <si>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</si>
  <si>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</si>
  <si>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</si>
  <si>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</si>
  <si>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</si>
  <si>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</si>
  <si>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</si>
  <si>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</si>
  <si>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</si>
  <si>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</si>
  <si>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</si>
  <si>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</si>
  <si>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</si>
  <si>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</si>
  <si>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</si>
  <si>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</si>
  <si>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</si>
  <si>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</si>
  <si>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</si>
  <si>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</si>
  <si>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</si>
  <si>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</si>
  <si>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</si>
  <si>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</si>
  <si>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</si>
  <si>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</si>
  <si>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</si>
  <si>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</si>
  <si>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</si>
  <si>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</si>
  <si>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</si>
  <si>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</si>
  <si>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</si>
  <si>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</si>
  <si>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</si>
  <si>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</si>
  <si>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</si>
  <si>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</si>
  <si>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</si>
  <si>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</si>
  <si>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</si>
  <si>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</si>
  <si>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</si>
  <si>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</si>
  <si>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</si>
  <si>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</si>
  <si>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</si>
  <si>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</si>
  <si>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</si>
  <si>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</si>
  <si>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</si>
  <si>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</si>
  <si>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</si>
  <si>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</si>
  <si>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</si>
  <si>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</si>
  <si>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</si>
  <si>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</si>
  <si>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</si>
  <si>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</si>
  <si>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</si>
  <si>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</si>
  <si>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</si>
  <si>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</si>
  <si>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</si>
  <si>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</si>
  <si>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</si>
  <si>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</si>
  <si>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</si>
  <si>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</si>
  <si>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</si>
  <si>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</si>
  <si>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</si>
  <si>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</si>
  <si>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</si>
  <si>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</si>
  <si>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</si>
  <si>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</si>
  <si>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</si>
  <si>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</si>
  <si>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</si>
  <si>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</si>
  <si>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</si>
  <si>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</si>
  <si>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</si>
  <si>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</si>
  <si>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</si>
  <si>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</si>
  <si>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</si>
  <si>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</si>
  <si>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</si>
  <si>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</si>
  <si>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</si>
  <si>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</si>
  <si>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</si>
  <si>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</si>
  <si>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</si>
  <si>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</si>
  <si>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</si>
  <si>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</si>
  <si>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</si>
  <si>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</si>
  <si>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</si>
  <si>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</si>
  <si>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</si>
  <si>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</si>
  <si>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</si>
  <si>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</si>
  <si>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</si>
  <si>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</si>
  <si>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</si>
  <si>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</si>
  <si>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</si>
  <si>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</si>
  <si>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</si>
  <si>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</si>
  <si>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</si>
  <si>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</si>
  <si>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</si>
  <si>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</si>
  <si>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</si>
  <si>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</si>
  <si>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</si>
  <si>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</si>
  <si>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</si>
  <si>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</si>
  <si>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</si>
  <si>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</si>
  <si>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</si>
  <si>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</si>
  <si>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</si>
  <si>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</si>
  <si>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</si>
  <si>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</si>
  <si>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</si>
  <si>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</si>
  <si>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</si>
  <si>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</si>
  <si>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</si>
  <si>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</si>
  <si>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</si>
  <si>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</si>
  <si>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</si>
  <si>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</si>
  <si>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</si>
  <si>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</si>
  <si>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</si>
  <si>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</si>
  <si>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</si>
  <si>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</si>
  <si>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</si>
  <si>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</si>
  <si>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</si>
  <si>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</si>
  <si>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</si>
  <si>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</si>
  <si>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</si>
  <si>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</si>
  <si>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</si>
  <si>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</si>
  <si>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</si>
  <si>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</si>
  <si>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</si>
  <si>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</si>
  <si>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</si>
  <si>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</si>
  <si>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</si>
  <si>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</si>
  <si>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</si>
  <si>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</si>
  <si>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</si>
  <si>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</si>
  <si>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</si>
  <si>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</si>
  <si>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</si>
  <si>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</si>
  <si>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</si>
  <si>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</si>
  <si>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</si>
  <si>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</si>
  <si>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</si>
  <si>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</si>
  <si>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</si>
  <si>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</si>
  <si>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</si>
  <si>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</si>
  <si>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</si>
  <si>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</si>
  <si>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</si>
  <si>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</si>
  <si>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</si>
  <si>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</si>
  <si>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</si>
  <si>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</si>
  <si>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</si>
  <si>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</si>
  <si>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</si>
  <si>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</si>
  <si>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</si>
  <si>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</si>
  <si>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</si>
  <si>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</si>
  <si>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</si>
  <si>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</si>
  <si>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</si>
  <si>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</si>
  <si>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</si>
  <si>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</si>
  <si>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</si>
  <si>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</si>
  <si>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</si>
  <si>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</si>
  <si>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</si>
  <si>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</si>
  <si>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</si>
  <si>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</si>
  <si>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</si>
  <si>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</si>
  <si>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</si>
  <si>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</si>
  <si>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</si>
  <si>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</si>
  <si>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</si>
  <si>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</si>
  <si>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</si>
  <si>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</si>
  <si>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</si>
  <si>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</si>
  <si>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</si>
  <si>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</si>
  <si>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</si>
  <si>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</si>
  <si>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</si>
  <si>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</si>
  <si>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</si>
  <si>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</si>
  <si>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</si>
  <si>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</si>
  <si>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</si>
  <si>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</si>
  <si>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</si>
  <si>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</si>
  <si>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</si>
  <si>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</si>
  <si>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</si>
  <si>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</si>
  <si>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</si>
  <si>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</si>
  <si>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</si>
  <si>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</si>
  <si>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</si>
  <si>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</si>
  <si>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</si>
  <si>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</si>
  <si>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</si>
  <si>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</si>
  <si>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</si>
  <si>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</si>
  <si>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</si>
  <si>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</si>
  <si>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</si>
  <si>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</si>
  <si>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</si>
  <si>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</si>
  <si>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</si>
  <si>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</si>
  <si>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</si>
  <si>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</si>
  <si>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</si>
  <si>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</si>
  <si>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</si>
  <si>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</si>
  <si>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</si>
  <si>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</si>
  <si>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</si>
  <si>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</si>
  <si>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</si>
  <si>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</si>
  <si>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</si>
  <si>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</si>
  <si>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</si>
  <si>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</si>
  <si>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</si>
  <si>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</si>
  <si>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</si>
  <si>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</si>
  <si>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</si>
  <si>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</si>
  <si>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</si>
  <si>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</si>
  <si>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</si>
  <si>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</si>
  <si>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</si>
  <si>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</si>
  <si>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</si>
  <si>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</si>
  <si>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</si>
  <si>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</si>
  <si>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</si>
  <si>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</si>
  <si>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</si>
  <si>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</si>
  <si>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</si>
  <si>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</si>
  <si>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</si>
  <si>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</si>
  <si>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</si>
  <si>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</si>
  <si>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</si>
  <si>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</si>
  <si>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</si>
  <si>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</si>
  <si>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</si>
  <si>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</si>
  <si>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</si>
  <si>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</si>
  <si>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</si>
  <si>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</si>
  <si>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</si>
  <si>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</si>
  <si>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</si>
  <si>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</si>
  <si>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</si>
  <si>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</si>
  <si>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</si>
  <si>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</si>
  <si>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</si>
  <si>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</si>
  <si>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</si>
  <si>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</si>
  <si>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</si>
  <si>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</si>
  <si>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</si>
  <si>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</si>
  <si>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</si>
  <si>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</si>
  <si>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</si>
  <si>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</si>
  <si>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</si>
  <si>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</si>
  <si>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</si>
  <si>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</si>
  <si>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</si>
  <si>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</si>
  <si>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</si>
  <si>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</si>
  <si>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</si>
  <si>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</si>
  <si>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</si>
  <si>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</si>
  <si>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</si>
  <si>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</si>
  <si>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</si>
  <si>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</si>
  <si>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</si>
  <si>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</si>
  <si>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</si>
  <si>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</si>
  <si>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</si>
  <si>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</si>
  <si>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</si>
  <si>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</si>
  <si>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</si>
  <si>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</si>
  <si>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</si>
  <si>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</si>
  <si>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</si>
  <si>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</si>
  <si>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</si>
  <si>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</si>
  <si>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</si>
  <si>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</si>
  <si>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</si>
  <si>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</si>
  <si>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</si>
  <si>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</si>
  <si>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</si>
  <si>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</si>
  <si>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</si>
  <si>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</si>
  <si>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</si>
  <si>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</si>
  <si>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</si>
  <si>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</si>
  <si>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</si>
  <si>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</si>
  <si>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</si>
  <si>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</si>
  <si>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</si>
  <si>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</si>
  <si>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</si>
  <si>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</si>
  <si>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</si>
  <si>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</si>
  <si>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</si>
  <si>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</si>
  <si>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</si>
  <si>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</si>
  <si>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</si>
  <si>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</si>
  <si>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</si>
  <si>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</si>
  <si>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</si>
  <si>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</si>
  <si>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</si>
  <si>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</si>
  <si>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</si>
  <si>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</si>
  <si>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</si>
  <si>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</si>
  <si>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</si>
  <si>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</si>
  <si>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</si>
  <si>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</si>
  <si>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</si>
  <si>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</si>
  <si>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</si>
  <si>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</si>
  <si>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</si>
  <si>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</si>
  <si>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</si>
  <si>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</si>
  <si>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</si>
  <si>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</si>
  <si>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</si>
  <si>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</si>
  <si>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</si>
  <si>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</si>
  <si>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</si>
  <si>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</si>
  <si>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</si>
  <si>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</si>
  <si>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</si>
  <si>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</si>
  <si>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</si>
  <si>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</si>
  <si>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</si>
  <si>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</si>
  <si>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</si>
  <si>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</si>
  <si>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</si>
  <si>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</si>
  <si>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</si>
  <si>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</si>
  <si>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</si>
  <si>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</si>
  <si>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</si>
  <si>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</si>
  <si>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</si>
  <si>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</si>
  <si>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</si>
  <si>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</si>
  <si>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</si>
  <si>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</si>
  <si>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</si>
  <si>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</si>
  <si>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</si>
  <si>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</si>
  <si>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</si>
  <si>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</si>
  <si>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</si>
  <si>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</si>
  <si>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</si>
  <si>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</si>
  <si>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</si>
  <si>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</si>
  <si>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</si>
  <si>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</si>
  <si>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</si>
  <si>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</si>
  <si>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</si>
  <si>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</si>
  <si>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</si>
  <si>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</si>
  <si>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</si>
  <si>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</si>
  <si>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</si>
  <si>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</si>
  <si>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</si>
  <si>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</si>
  <si>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</si>
  <si>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</si>
  <si>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</si>
  <si>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</si>
  <si>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</si>
  <si>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</si>
  <si>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</si>
  <si>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</si>
  <si>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</si>
  <si>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</si>
  <si>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</si>
  <si>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</si>
  <si>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</si>
  <si>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</si>
  <si>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</si>
  <si>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</si>
  <si>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</si>
  <si>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</si>
  <si>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</si>
  <si>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</si>
  <si>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</si>
  <si>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</si>
  <si>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</si>
  <si>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</si>
  <si>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</si>
  <si>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</si>
  <si>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</si>
  <si>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</si>
  <si>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</si>
  <si>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</si>
  <si>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</si>
  <si>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</si>
  <si>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</si>
  <si>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</si>
  <si>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</si>
  <si>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</si>
  <si>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</si>
  <si>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</si>
  <si>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</si>
  <si>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</si>
  <si>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</si>
  <si>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</si>
  <si>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</si>
  <si>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</si>
  <si>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</si>
  <si>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</si>
  <si>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</si>
  <si>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</si>
  <si>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</si>
  <si>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</si>
  <si>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</si>
  <si>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</si>
  <si>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</si>
  <si>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</si>
  <si>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</si>
  <si>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</si>
  <si>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</si>
  <si>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</si>
  <si>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</si>
  <si>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</si>
  <si>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</si>
  <si>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</si>
  <si>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</si>
  <si>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</si>
  <si>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</si>
  <si>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</si>
  <si>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</si>
  <si>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</si>
  <si>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</si>
  <si>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</si>
  <si>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</si>
  <si>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</si>
  <si>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</si>
  <si>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</si>
  <si>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</si>
  <si>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</si>
  <si>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</si>
  <si>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</si>
  <si>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</si>
  <si>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</si>
  <si>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</si>
  <si>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</si>
  <si>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</si>
  <si>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</si>
  <si>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</si>
  <si>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</si>
  <si>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</si>
  <si>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</si>
  <si>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</si>
  <si>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</si>
  <si>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</si>
  <si>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</si>
  <si>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</si>
  <si>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</si>
  <si>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</si>
  <si>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</si>
  <si>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</si>
  <si>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</si>
  <si>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</si>
  <si>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</si>
  <si>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</si>
  <si>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</si>
  <si>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</si>
  <si>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</si>
  <si>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</si>
  <si>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</si>
  <si>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</si>
  <si>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</si>
  <si>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</si>
  <si>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</si>
  <si>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</si>
  <si>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</si>
  <si>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</si>
  <si>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</si>
  <si>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</si>
  <si>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</si>
  <si>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</si>
  <si>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</si>
  <si>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</si>
  <si>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</si>
  <si>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</si>
  <si>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</si>
  <si>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</si>
  <si>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</si>
  <si>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</si>
  <si>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</si>
  <si>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</si>
  <si>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</si>
  <si>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</si>
  <si>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</si>
  <si>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</si>
  <si>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</si>
  <si>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</si>
  <si>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</si>
  <si>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</si>
  <si>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</si>
  <si>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</si>
  <si>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</si>
  <si>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</si>
  <si>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</si>
  <si>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</si>
  <si>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</si>
  <si>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</si>
  <si>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</si>
  <si>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</si>
  <si>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</si>
  <si>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</si>
  <si>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</si>
  <si>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</si>
  <si>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</si>
  <si>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</si>
  <si>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</si>
  <si>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</si>
  <si>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</si>
  <si>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</si>
  <si>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</si>
  <si>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</si>
  <si>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</si>
  <si>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</si>
  <si>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</si>
  <si>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</si>
  <si>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</si>
  <si>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</si>
  <si>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</si>
  <si>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</si>
  <si>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</si>
  <si>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</si>
  <si>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</si>
  <si>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</si>
  <si>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</si>
  <si>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</si>
  <si>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</si>
  <si>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</si>
  <si>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</si>
  <si>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</si>
  <si>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</si>
  <si>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</si>
  <si>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</si>
  <si>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</si>
  <si>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</si>
  <si>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</si>
  <si>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</si>
  <si>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</si>
  <si>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</si>
  <si>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</si>
  <si>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</si>
  <si>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</si>
  <si>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</si>
  <si>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</si>
  <si>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</si>
  <si>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</si>
  <si>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</si>
  <si>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</si>
  <si>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</si>
  <si>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</si>
  <si>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</si>
  <si>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</si>
  <si>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</si>
  <si>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</si>
  <si>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</si>
  <si>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</si>
  <si>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</si>
  <si>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</si>
  <si>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</si>
  <si>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</si>
  <si>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</si>
  <si>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</si>
  <si>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</si>
  <si>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</si>
  <si>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</si>
  <si>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</si>
  <si>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</si>
  <si>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</si>
  <si>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</si>
  <si>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</si>
  <si>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</si>
  <si>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</si>
  <si>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</si>
  <si>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</si>
  <si>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</si>
  <si>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</si>
  <si>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</si>
  <si>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</si>
  <si>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</si>
  <si>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</si>
  <si>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</si>
  <si>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</si>
  <si>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</si>
  <si>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</si>
  <si>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</si>
  <si>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</si>
  <si>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</si>
  <si>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</si>
  <si>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</si>
  <si>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</si>
  <si>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</si>
  <si>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</si>
  <si>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</si>
  <si>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</si>
  <si>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</si>
  <si>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</si>
  <si>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</si>
  <si>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</si>
  <si>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</si>
  <si>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</si>
  <si>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</si>
  <si>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</si>
  <si>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</si>
  <si>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</si>
  <si>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</si>
  <si>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</si>
  <si>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</si>
  <si>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</si>
  <si>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</si>
  <si>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</si>
  <si>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</si>
  <si>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</si>
  <si>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</si>
  <si>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</si>
  <si>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</si>
  <si>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</si>
  <si>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</si>
  <si>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</si>
  <si>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</si>
  <si>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</si>
  <si>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</si>
  <si>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</si>
  <si>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</si>
  <si>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</si>
  <si>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</si>
  <si>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</si>
  <si>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</si>
  <si>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</si>
  <si>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</si>
  <si>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</si>
  <si>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</si>
  <si>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</si>
  <si>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</si>
  <si>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</si>
  <si>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</si>
  <si>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</si>
  <si>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</si>
  <si>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</si>
  <si>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</si>
  <si>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</si>
  <si>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</si>
  <si>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</si>
  <si>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</si>
  <si>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</si>
  <si>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</si>
  <si>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</si>
  <si>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</si>
  <si>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</si>
  <si>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</si>
  <si>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</si>
  <si>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</si>
  <si>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</si>
  <si>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</si>
  <si>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</si>
  <si>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</si>
  <si>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</si>
  <si>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</si>
  <si>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</si>
  <si>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</si>
  <si>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</si>
  <si>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</si>
  <si>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</si>
  <si>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</si>
  <si>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</si>
  <si>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</si>
  <si>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</si>
  <si>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</si>
  <si>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</si>
  <si>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</si>
  <si>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</si>
  <si>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</si>
  <si>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</si>
  <si>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</si>
  <si>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</si>
  <si>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</si>
  <si>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</si>
  <si>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</si>
  <si>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</si>
  <si>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</si>
  <si>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</si>
  <si>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</si>
  <si>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</si>
  <si>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</si>
  <si>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</si>
  <si>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</si>
  <si>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</si>
  <si>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</si>
  <si>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</si>
  <si>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</si>
  <si>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</si>
  <si>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</si>
  <si>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</si>
  <si>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</si>
  <si>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</si>
  <si>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</si>
  <si>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</si>
  <si>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</si>
  <si>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</si>
  <si>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</si>
  <si>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</si>
  <si>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</si>
  <si>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</si>
  <si>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</si>
  <si>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</si>
  <si>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</si>
  <si>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</si>
  <si>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</si>
  <si>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</si>
  <si>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</si>
  <si>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</si>
  <si>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</si>
  <si>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</si>
  <si>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</si>
  <si>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</si>
  <si>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</si>
  <si>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</si>
  <si>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</si>
  <si>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</si>
  <si>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</si>
  <si>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</si>
  <si>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</si>
  <si>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</si>
  <si>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</si>
  <si>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</si>
  <si>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</si>
  <si>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</si>
  <si>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</si>
  <si>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</si>
  <si>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</si>
  <si>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</si>
  <si>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</si>
  <si>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</si>
  <si>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</si>
  <si>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</si>
  <si>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</si>
  <si>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</si>
  <si>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</si>
  <si>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</si>
  <si>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</si>
  <si>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</si>
  <si>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</si>
  <si>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</si>
  <si>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</si>
  <si>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</si>
  <si>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</si>
  <si>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</si>
  <si>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</si>
  <si>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</si>
  <si>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</si>
  <si>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</si>
  <si>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</si>
  <si>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</si>
  <si>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</si>
  <si>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</si>
  <si>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</si>
  <si>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</si>
  <si>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</si>
  <si>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</si>
  <si>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</si>
  <si>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</si>
  <si>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</si>
  <si>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</si>
  <si>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</si>
  <si>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</si>
  <si>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</si>
  <si>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</si>
  <si>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</si>
  <si>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</si>
  <si>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</si>
  <si>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</si>
  <si>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</si>
  <si>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</si>
  <si>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</si>
  <si>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</si>
  <si>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</si>
  <si>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</si>
  <si>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</si>
  <si>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</si>
  <si>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</si>
  <si>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</si>
  <si>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</si>
  <si>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</si>
  <si>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</si>
  <si>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</si>
  <si>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</si>
  <si>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</si>
  <si>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</si>
  <si>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</si>
  <si>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</si>
  <si>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</si>
  <si>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</si>
  <si>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</si>
  <si>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</si>
  <si>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</si>
  <si>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</si>
  <si>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</si>
  <si>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</si>
  <si>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</si>
  <si>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</si>
  <si>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</si>
  <si>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</si>
  <si>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</si>
  <si>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</si>
  <si>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</si>
  <si>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</si>
  <si>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</si>
  <si>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</si>
  <si>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</si>
  <si>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</si>
  <si>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</si>
  <si>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</si>
  <si>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</si>
  <si>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</si>
  <si>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</si>
  <si>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</si>
  <si>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</si>
  <si>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</si>
  <si>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</si>
  <si>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</si>
  <si>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</si>
  <si>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</si>
  <si>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</si>
  <si>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</si>
  <si>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</si>
  <si>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</si>
  <si>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</si>
  <si>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</si>
  <si>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</si>
  <si>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</si>
  <si>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</si>
  <si>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</si>
  <si>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</si>
  <si>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</si>
  <si>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</si>
  <si>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</si>
  <si>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</si>
  <si>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</si>
  <si>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</si>
  <si>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</si>
  <si>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</si>
  <si>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</si>
  <si>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</si>
  <si>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</si>
  <si>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</si>
  <si>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</si>
  <si>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</si>
  <si>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</si>
  <si>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</si>
  <si>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</si>
  <si>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</si>
  <si>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</si>
  <si>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</si>
  <si>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</si>
  <si>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</si>
  <si>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</si>
  <si>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</si>
  <si>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</si>
  <si>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</si>
  <si>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</si>
  <si>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</si>
  <si>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</si>
  <si>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</si>
  <si>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</si>
  <si>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</si>
  <si>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</si>
  <si>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</si>
  <si>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</si>
  <si>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</si>
  <si>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</si>
  <si>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</si>
  <si>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</si>
  <si>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</si>
  <si>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</si>
  <si>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</si>
  <si>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</si>
  <si>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</si>
  <si>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</si>
  <si>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</si>
  <si>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</si>
  <si>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</si>
  <si>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</si>
  <si>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</si>
  <si>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</si>
  <si>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</si>
  <si>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</si>
  <si>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</si>
  <si>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</si>
  <si>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</si>
  <si>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</si>
  <si>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</si>
  <si>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</si>
  <si>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</si>
  <si>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</si>
  <si>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</si>
  <si>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</si>
  <si>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</si>
  <si>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</si>
  <si>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</si>
  <si>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</si>
  <si>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</si>
  <si>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</si>
  <si>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</si>
  <si>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</si>
  <si>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</si>
  <si>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</si>
  <si>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</si>
  <si>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</si>
  <si>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</si>
  <si>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</si>
  <si>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</si>
  <si>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</si>
  <si>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</si>
  <si>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</si>
  <si>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</si>
  <si>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</si>
  <si>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</si>
  <si>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</si>
  <si>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</si>
  <si>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</si>
  <si>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</si>
  <si>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</si>
  <si>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</si>
  <si>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</si>
  <si>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</si>
  <si>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</si>
  <si>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</si>
  <si>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</si>
  <si>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</si>
  <si>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</si>
  <si>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</si>
  <si>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</si>
  <si>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</si>
  <si>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</si>
  <si>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</si>
  <si>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</si>
  <si>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</si>
  <si>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</si>
  <si>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</si>
  <si>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</si>
  <si>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</si>
  <si>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</si>
  <si>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</si>
  <si>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</si>
  <si>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</si>
  <si>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</si>
  <si>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</si>
  <si>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</si>
  <si>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</si>
  <si>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</si>
  <si>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</si>
  <si>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</si>
  <si>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</si>
  <si>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</si>
  <si>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</si>
  <si>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</si>
  <si>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</si>
  <si>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</si>
  <si>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</si>
  <si>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</si>
  <si>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</si>
  <si>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</si>
  <si>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</si>
  <si>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</si>
  <si>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</si>
  <si>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</si>
  <si>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</si>
  <si>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</si>
  <si>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</si>
  <si>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</si>
  <si>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</si>
  <si>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</si>
  <si>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</si>
  <si>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</si>
  <si>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</si>
  <si>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</si>
  <si>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</si>
  <si>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</si>
  <si>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</si>
  <si>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</si>
  <si>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</si>
  <si>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</si>
  <si>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</si>
  <si>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</si>
  <si>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</si>
  <si>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</si>
  <si>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</si>
  <si>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</si>
  <si>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</si>
  <si>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</si>
  <si>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</si>
  <si>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</si>
  <si>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</si>
  <si>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</si>
  <si>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</si>
  <si>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</si>
  <si>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</si>
  <si>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</si>
  <si>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</si>
  <si>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</si>
  <si>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</si>
  <si>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</si>
  <si>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</si>
  <si>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</si>
  <si>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</si>
  <si>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</si>
  <si>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</si>
  <si>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</si>
  <si>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</si>
  <si>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</si>
  <si>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</si>
  <si>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</si>
  <si>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</si>
  <si>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</si>
  <si>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</si>
  <si>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</si>
  <si>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</si>
  <si>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</si>
  <si>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</si>
  <si>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</si>
  <si>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</si>
  <si>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</si>
  <si>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</si>
  <si>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</si>
  <si>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</si>
  <si>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</si>
  <si>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</si>
  <si>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</si>
  <si>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</si>
  <si>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</si>
  <si>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</si>
  <si>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</si>
  <si>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</si>
  <si>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</si>
  <si>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</si>
  <si>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</si>
  <si>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</si>
  <si>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</si>
  <si>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</si>
  <si>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</si>
  <si>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</si>
  <si>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</si>
  <si>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</si>
  <si>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</si>
  <si>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</si>
  <si>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</si>
  <si>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</si>
  <si>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</si>
  <si>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</si>
  <si>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</si>
  <si>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</si>
  <si>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</si>
  <si>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</si>
  <si>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</si>
  <si>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</si>
  <si>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</si>
  <si>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</si>
  <si>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</si>
  <si>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</si>
  <si>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</si>
  <si>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</si>
  <si>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</si>
  <si>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</si>
  <si>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</si>
  <si>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</si>
  <si>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</si>
  <si>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</si>
  <si>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</si>
  <si>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</si>
  <si>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</si>
  <si>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</si>
  <si>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</si>
  <si>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</si>
  <si>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</si>
  <si>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</si>
  <si>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</si>
  <si>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</si>
  <si>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</si>
  <si>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</si>
  <si>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</si>
  <si>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</si>
  <si>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</si>
  <si>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</si>
  <si>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</si>
  <si>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</si>
  <si>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</si>
  <si>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</si>
  <si>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</si>
  <si>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</si>
  <si>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</si>
  <si>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</si>
  <si>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</si>
  <si>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</si>
  <si>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</si>
  <si>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</si>
  <si>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</si>
  <si>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</si>
  <si>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</si>
  <si>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</si>
  <si>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</si>
  <si>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</si>
  <si>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</si>
  <si>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</si>
  <si>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</si>
  <si>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</si>
  <si>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</si>
  <si>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</si>
  <si>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</si>
  <si>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</si>
  <si>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</si>
  <si>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</si>
  <si>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</si>
  <si>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</si>
  <si>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</si>
  <si>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</si>
  <si>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</si>
  <si>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</si>
  <si>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</si>
  <si>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</si>
  <si>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</si>
  <si>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</si>
  <si>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</si>
  <si>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</si>
  <si>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</si>
  <si>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</si>
  <si>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</si>
  <si>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</si>
  <si>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</si>
  <si>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</si>
  <si>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</si>
  <si>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</si>
  <si>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</si>
  <si>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</si>
  <si>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</si>
  <si>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</si>
  <si>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</si>
  <si>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</si>
  <si>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</si>
  <si>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</si>
  <si>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</si>
  <si>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</si>
  <si>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</si>
  <si>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</si>
  <si>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</si>
  <si>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</si>
  <si>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</si>
  <si>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</si>
  <si>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</si>
  <si>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</si>
  <si>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</si>
  <si>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</si>
  <si>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</si>
  <si>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</si>
  <si>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</si>
  <si>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</si>
  <si>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</si>
  <si>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</si>
  <si>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</si>
  <si>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</si>
  <si>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</si>
  <si>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</si>
  <si>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</si>
  <si>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</si>
  <si>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</si>
  <si>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</si>
  <si>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</si>
  <si>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</si>
  <si>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</si>
  <si>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</si>
  <si>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</si>
  <si>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</si>
  <si>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</si>
  <si>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</si>
  <si>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</si>
  <si>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</si>
  <si>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</si>
  <si>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</si>
  <si>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</si>
  <si>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</si>
  <si>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</si>
  <si>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</si>
  <si>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</si>
  <si>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</si>
  <si>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</si>
  <si>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</si>
  <si>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</si>
  <si>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</si>
  <si>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</si>
  <si>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</si>
  <si>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</si>
  <si>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</si>
  <si>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</si>
  <si>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</si>
  <si>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</si>
  <si>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</si>
  <si>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</si>
  <si>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</si>
  <si>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</si>
  <si>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</si>
  <si>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</si>
  <si>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</si>
  <si>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</si>
  <si>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</si>
  <si>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</si>
  <si>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</si>
  <si>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</si>
  <si>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</si>
  <si>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</si>
  <si>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</si>
  <si>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</si>
  <si>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</si>
  <si>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</si>
  <si>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</si>
  <si>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</si>
  <si>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</si>
  <si>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</si>
  <si>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</si>
  <si>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</si>
  <si>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</si>
  <si>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</si>
  <si>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</si>
  <si>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</si>
  <si>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</si>
  <si>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</si>
  <si>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</si>
  <si>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</si>
  <si>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</si>
  <si>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</si>
  <si>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</si>
  <si>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</si>
  <si>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</si>
  <si>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</si>
  <si>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</si>
  <si>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</si>
  <si>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</si>
  <si>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</si>
  <si>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</si>
  <si>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</si>
  <si>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</si>
  <si>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</si>
  <si>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</si>
  <si>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</si>
  <si>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</si>
  <si>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</si>
  <si>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</si>
  <si>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</si>
  <si>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</si>
  <si>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</si>
  <si>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</si>
  <si>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</si>
  <si>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</si>
  <si>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</si>
  <si>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</si>
  <si>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</si>
  <si>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</si>
  <si>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</si>
  <si>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</si>
  <si>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</si>
  <si>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</si>
  <si>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</si>
  <si>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</si>
  <si>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</si>
  <si>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</si>
  <si>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</si>
  <si>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</si>
  <si>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</si>
  <si>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</si>
  <si>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</si>
  <si>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</si>
  <si>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</si>
  <si>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</si>
  <si>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</si>
  <si>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</si>
  <si>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</si>
  <si>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</si>
  <si>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</si>
  <si>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</si>
  <si>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</si>
  <si>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</si>
  <si>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</si>
  <si>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</si>
  <si>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</si>
  <si>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</si>
  <si>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</si>
  <si>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</si>
  <si>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</si>
  <si>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</si>
  <si>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</si>
  <si>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</si>
  <si>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</si>
  <si>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</si>
  <si>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</si>
  <si>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</si>
  <si>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</si>
  <si>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</si>
  <si>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</si>
  <si>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</si>
  <si>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</si>
  <si>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</si>
  <si>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</si>
  <si>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</si>
  <si>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</si>
  <si>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</si>
  <si>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</si>
  <si>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</si>
  <si>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</si>
  <si>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</si>
  <si>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</si>
  <si>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</si>
  <si>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</si>
  <si>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</si>
  <si>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</si>
  <si>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</si>
  <si>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</si>
  <si>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</si>
  <si>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</si>
  <si>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</si>
  <si>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</si>
  <si>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</si>
  <si>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</si>
  <si>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</si>
  <si>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</si>
  <si>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</si>
  <si>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</si>
  <si>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</si>
  <si>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</si>
  <si>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</si>
  <si>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</si>
  <si>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</si>
  <si>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</si>
  <si>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</si>
  <si>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</si>
  <si>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</si>
  <si>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</si>
  <si>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</si>
  <si>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</si>
  <si>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</si>
  <si>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</si>
  <si>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</si>
  <si>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</si>
  <si>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</si>
  <si>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</si>
  <si>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</si>
  <si>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</si>
  <si>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</si>
  <si>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</si>
  <si>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</si>
  <si>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</si>
  <si>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</si>
  <si>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</si>
  <si>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</si>
  <si>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</si>
  <si>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</si>
  <si>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</si>
  <si>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</si>
  <si>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</si>
  <si>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</si>
  <si>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</si>
  <si>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</si>
  <si>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</si>
  <si>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</si>
  <si>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</si>
  <si>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</si>
  <si>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</si>
  <si>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</si>
  <si>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</si>
  <si>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</si>
  <si>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</si>
  <si>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</si>
  <si>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</si>
  <si>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</si>
  <si>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</si>
  <si>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</si>
  <si>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</si>
  <si>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</si>
  <si>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</si>
  <si>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</si>
  <si>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</si>
  <si>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</si>
  <si>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</si>
  <si>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</si>
  <si>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</si>
  <si>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</si>
  <si>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</si>
  <si>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</si>
  <si>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</si>
  <si>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</si>
  <si>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</si>
  <si>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</si>
  <si>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</si>
  <si>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</si>
  <si>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</si>
  <si>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</si>
  <si>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</si>
  <si>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</si>
  <si>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</si>
  <si>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</si>
  <si>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</si>
  <si>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</si>
  <si>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</si>
  <si>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</si>
  <si>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</si>
  <si>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</si>
  <si>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</si>
  <si>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</si>
  <si>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</si>
  <si>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</si>
  <si>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</si>
  <si>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</si>
  <si>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</si>
  <si>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</si>
  <si>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</si>
  <si>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</si>
  <si>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</si>
  <si>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</si>
  <si>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</si>
  <si>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</si>
  <si>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</si>
  <si>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</si>
  <si>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</si>
  <si>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</si>
  <si>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</si>
  <si>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</si>
  <si>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</si>
  <si>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</si>
  <si>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</si>
  <si>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</si>
  <si>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</si>
  <si>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</si>
  <si>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</si>
  <si>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</si>
  <si>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</si>
  <si>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</si>
  <si>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</si>
  <si>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</si>
  <si>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</si>
  <si>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</si>
  <si>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</si>
  <si>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</si>
  <si>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</si>
  <si>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</si>
  <si>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</si>
  <si>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</si>
  <si>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</si>
  <si>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</si>
  <si>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</si>
  <si>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</si>
  <si>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</si>
  <si>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</si>
  <si>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</si>
  <si>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</si>
  <si>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</si>
  <si>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</si>
  <si>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</si>
  <si>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</si>
  <si>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</si>
  <si>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</si>
  <si>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</si>
  <si>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</si>
  <si>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</si>
  <si>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</si>
  <si>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</si>
  <si>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</si>
  <si>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</si>
  <si>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</si>
  <si>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</si>
  <si>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</si>
  <si>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</si>
  <si>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</si>
  <si>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</si>
  <si>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</si>
  <si>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</si>
  <si>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</si>
  <si>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</si>
  <si>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</si>
  <si>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</si>
  <si>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</si>
  <si>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</si>
  <si>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</si>
  <si>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</si>
  <si>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</si>
  <si>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</si>
  <si>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</si>
  <si>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</si>
  <si>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</si>
  <si>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</si>
  <si>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</si>
  <si>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</si>
  <si>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</si>
  <si>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</si>
  <si>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</si>
  <si>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</si>
  <si>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</si>
  <si>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</si>
  <si>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</si>
  <si>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</si>
  <si>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</si>
  <si>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</si>
  <si>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</si>
  <si>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</si>
  <si>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</si>
  <si>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</si>
  <si>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</si>
  <si>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</si>
  <si>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</si>
  <si>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</si>
  <si>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</si>
  <si>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</si>
  <si>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</si>
  <si>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</si>
  <si>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</si>
  <si>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</si>
  <si>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</si>
  <si>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</si>
  <si>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</si>
  <si>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</si>
  <si>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</si>
  <si>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</si>
  <si>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</si>
  <si>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</si>
  <si>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</si>
  <si>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</si>
  <si>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</si>
  <si>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</si>
  <si>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</si>
  <si>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</si>
  <si>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</si>
  <si>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</si>
  <si>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</si>
  <si>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</si>
  <si>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</si>
  <si>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</si>
  <si>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</si>
  <si>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</si>
  <si>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</si>
  <si>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</si>
  <si>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</si>
  <si>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</si>
  <si>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</si>
  <si>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</si>
  <si>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</si>
  <si>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</si>
  <si>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</si>
  <si>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</si>
  <si>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</si>
  <si>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</si>
  <si>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</si>
  <si>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</si>
  <si>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</si>
  <si>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</si>
  <si>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</si>
  <si>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</si>
  <si>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</si>
  <si>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</si>
  <si>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</si>
  <si>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</si>
  <si>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</si>
  <si>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</si>
  <si>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</si>
  <si>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</si>
  <si>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</si>
  <si>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</si>
  <si>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</si>
  <si>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</si>
  <si>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</si>
  <si>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</si>
  <si>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</si>
  <si>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</si>
  <si>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</si>
  <si>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</si>
  <si>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</si>
  <si>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</si>
  <si>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</si>
  <si>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</si>
  <si>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</si>
  <si>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</si>
  <si>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</si>
  <si>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</si>
  <si>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</si>
  <si>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</si>
  <si>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</si>
  <si>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</si>
  <si>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</si>
  <si>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</si>
  <si>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</si>
  <si>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</si>
  <si>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</si>
  <si>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</si>
  <si>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</si>
  <si>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</si>
  <si>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</si>
  <si>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</si>
  <si>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</si>
  <si>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</si>
  <si>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</si>
  <si>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</si>
  <si>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</si>
  <si>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</si>
  <si>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</si>
  <si>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</si>
  <si>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</si>
  <si>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</si>
  <si>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</si>
  <si>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</si>
  <si>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</si>
  <si>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</si>
  <si>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</si>
  <si>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</si>
  <si>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</si>
  <si>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</si>
  <si>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</si>
  <si>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</si>
  <si>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</si>
  <si>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</si>
  <si>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</si>
  <si>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</si>
  <si>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</si>
  <si>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</si>
  <si>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</si>
  <si>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</si>
  <si>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</si>
  <si>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</si>
  <si>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</si>
  <si>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</si>
  <si>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</si>
  <si>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</si>
  <si>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</si>
  <si>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</si>
  <si>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</si>
  <si>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</si>
  <si>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</si>
  <si>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</si>
  <si>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</si>
  <si>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</si>
  <si>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</si>
  <si>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</si>
  <si>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</si>
  <si>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</si>
  <si>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</si>
  <si>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</si>
  <si>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</si>
  <si>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</si>
  <si>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</si>
  <si>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</si>
  <si>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</si>
  <si>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</si>
  <si>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</si>
  <si>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</si>
  <si>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</si>
  <si>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</si>
  <si>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</si>
  <si>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</si>
  <si>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</si>
  <si>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</si>
  <si>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</si>
  <si>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</si>
  <si>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</si>
  <si>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</si>
  <si>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</si>
  <si>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</si>
  <si>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</si>
  <si>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</si>
  <si>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</si>
  <si>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</si>
  <si>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</si>
  <si>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</si>
  <si>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</si>
  <si>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</si>
  <si>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</si>
  <si>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</si>
  <si>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</si>
  <si>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</si>
  <si>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</si>
  <si>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</si>
  <si>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</si>
  <si>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</si>
  <si>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</si>
  <si>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</si>
  <si>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</si>
  <si>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</si>
  <si>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</si>
  <si>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</si>
  <si>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</si>
  <si>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</si>
  <si>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</si>
  <si>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</si>
  <si>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</si>
  <si>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</si>
  <si>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</si>
  <si>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</si>
  <si>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</si>
  <si>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</si>
  <si>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</si>
  <si>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</si>
  <si>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</si>
  <si>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</si>
  <si>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</si>
  <si>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</si>
  <si>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</si>
  <si>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</si>
  <si>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</si>
  <si>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</si>
  <si>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</si>
  <si>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</si>
  <si>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</si>
  <si>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</si>
  <si>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</si>
  <si>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</si>
  <si>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</si>
  <si>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</si>
  <si>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</si>
  <si>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</si>
  <si>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</si>
  <si>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</si>
  <si>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</si>
  <si>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</si>
  <si>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</si>
  <si>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</si>
  <si>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</si>
  <si>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</si>
  <si>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</si>
  <si>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</si>
  <si>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</si>
  <si>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</si>
  <si>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</si>
  <si>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</si>
  <si>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</si>
  <si>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</si>
  <si>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</si>
  <si>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</si>
  <si>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</si>
  <si>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</si>
  <si>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</si>
  <si>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</si>
  <si>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</si>
  <si>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</si>
  <si>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</si>
  <si>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</si>
  <si>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</si>
  <si>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</si>
  <si>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</si>
  <si>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</si>
  <si>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</si>
  <si>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</si>
  <si>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</si>
  <si>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</si>
  <si>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</si>
  <si>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</si>
  <si>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</si>
  <si>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</si>
  <si>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</si>
  <si>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</si>
  <si>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</si>
  <si>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</si>
  <si>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</si>
  <si>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</si>
  <si>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</si>
  <si>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</si>
  <si>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</si>
  <si>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</si>
  <si>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</si>
  <si>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</si>
  <si>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</si>
  <si>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</si>
  <si>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</si>
  <si>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</si>
  <si>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</si>
  <si>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</si>
  <si>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</si>
  <si>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</si>
  <si>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</si>
  <si>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</si>
  <si>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</si>
  <si>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</si>
  <si>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</si>
  <si>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</si>
  <si>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</si>
  <si>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</si>
  <si>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</si>
  <si>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</si>
  <si>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</si>
  <si>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</si>
  <si>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</si>
  <si>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</si>
  <si>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</si>
  <si>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</si>
  <si>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</si>
  <si>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</si>
  <si>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</si>
  <si>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</si>
  <si>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</si>
  <si>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</si>
  <si>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</si>
  <si>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</si>
  <si>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</si>
  <si>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</si>
  <si>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</si>
  <si>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</si>
  <si>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</si>
  <si>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</si>
  <si>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</si>
  <si>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</si>
  <si>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</si>
  <si>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</si>
  <si>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</si>
  <si>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</si>
  <si>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</si>
  <si>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</si>
  <si>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</si>
  <si>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</si>
  <si>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</si>
  <si>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</si>
  <si>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</si>
  <si>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</si>
  <si>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</si>
  <si>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</si>
  <si>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</si>
  <si>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</si>
  <si>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</si>
  <si>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</si>
  <si>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</si>
  <si>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</si>
  <si>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</si>
  <si>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</si>
  <si>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</si>
  <si>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</si>
  <si>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</si>
  <si>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</si>
  <si>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</si>
  <si>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</si>
  <si>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</si>
  <si>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</si>
  <si>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</si>
  <si>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</si>
  <si>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</si>
  <si>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</si>
  <si>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</si>
  <si>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</si>
  <si>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</si>
  <si>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</si>
  <si>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</si>
  <si>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</si>
  <si>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</si>
  <si>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</si>
  <si>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</si>
  <si>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</si>
  <si>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</si>
  <si>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</si>
  <si>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</si>
  <si>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</si>
  <si>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</si>
  <si>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</si>
  <si>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</si>
  <si>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</si>
  <si>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</si>
  <si>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</si>
  <si>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</si>
  <si>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</si>
  <si>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</si>
  <si>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</si>
  <si>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</si>
  <si>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</si>
  <si>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</si>
  <si>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</si>
  <si>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</si>
  <si>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</si>
  <si>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</si>
  <si>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</si>
  <si>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</si>
  <si>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</si>
  <si>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</si>
  <si>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</si>
  <si>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</si>
  <si>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</si>
  <si>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</si>
  <si>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</si>
  <si>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</si>
  <si>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</si>
  <si>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</si>
  <si>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</si>
  <si>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</si>
  <si>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</si>
  <si>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</si>
  <si>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</si>
  <si>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</si>
  <si>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</si>
  <si>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</si>
  <si>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</si>
  <si>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</si>
  <si>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</si>
  <si>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</si>
  <si>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</si>
  <si>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</si>
  <si>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</si>
  <si>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</si>
  <si>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</si>
  <si>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</si>
  <si>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</si>
  <si>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</si>
  <si>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</si>
  <si>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</si>
  <si>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</si>
  <si>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</si>
  <si>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</si>
  <si>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</si>
  <si>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</si>
  <si>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</si>
  <si>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</si>
  <si>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</si>
  <si>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</si>
  <si>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</si>
  <si>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</si>
  <si>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</si>
  <si>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</si>
  <si>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</si>
  <si>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</si>
  <si>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</si>
  <si>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</si>
  <si>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</si>
  <si>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</si>
  <si>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</si>
  <si>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</si>
  <si>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</si>
  <si>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</si>
  <si>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</si>
  <si>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</si>
  <si>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</si>
  <si>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</si>
  <si>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</si>
  <si>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</si>
  <si>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</si>
  <si>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</si>
  <si>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</si>
  <si>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</si>
  <si>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</si>
  <si>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</si>
  <si>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</si>
  <si>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</si>
  <si>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</si>
  <si>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</si>
  <si>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</si>
  <si>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</si>
  <si>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</si>
  <si>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</si>
  <si>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</si>
  <si>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</si>
  <si>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</si>
  <si>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</si>
  <si>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</si>
  <si>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</si>
  <si>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</si>
  <si>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</si>
  <si>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</si>
  <si>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</si>
  <si>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</si>
  <si>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</si>
  <si>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</si>
  <si>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</si>
  <si>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</si>
  <si>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</si>
  <si>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</si>
  <si>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</si>
  <si>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</si>
  <si>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</si>
  <si>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</si>
  <si>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</si>
  <si>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</si>
  <si>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</si>
  <si>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</si>
  <si>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</si>
  <si>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</si>
  <si>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</si>
  <si>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</si>
  <si>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</si>
  <si>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</si>
  <si>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</si>
  <si>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</si>
  <si>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</si>
  <si>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</si>
  <si>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</si>
  <si>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</si>
  <si>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</si>
  <si>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</si>
  <si>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</si>
  <si>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</si>
  <si>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</si>
  <si>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</si>
  <si>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</si>
  <si>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</si>
  <si>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</si>
  <si>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</si>
  <si>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</si>
  <si>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</si>
  <si>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</si>
  <si>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</si>
  <si>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</si>
  <si>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</si>
  <si>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</si>
  <si>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</si>
  <si>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</si>
  <si>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</si>
  <si>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</si>
  <si>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</si>
  <si>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</si>
  <si>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</si>
  <si>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</si>
  <si>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</si>
  <si>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</si>
  <si>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</si>
  <si>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</si>
  <si>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</si>
  <si>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</si>
  <si>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</si>
  <si>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</si>
  <si>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</si>
  <si>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</si>
  <si>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</si>
  <si>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</si>
  <si>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</si>
  <si>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</si>
  <si>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</si>
  <si>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</si>
  <si>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</si>
  <si>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</si>
  <si>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</si>
  <si>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</si>
  <si>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</si>
  <si>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</si>
  <si>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</si>
  <si>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</si>
  <si>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</si>
  <si>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</si>
  <si>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</si>
  <si>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</si>
  <si>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</si>
  <si>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</si>
  <si>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</si>
  <si>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</si>
  <si>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</si>
  <si>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</si>
  <si>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</si>
  <si>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</si>
  <si>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</si>
  <si>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</si>
  <si>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</si>
  <si>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</si>
  <si>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</si>
  <si>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</si>
  <si>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</si>
  <si>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</si>
  <si>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</si>
  <si>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</si>
  <si>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</si>
  <si>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</si>
  <si>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</si>
  <si>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</si>
  <si>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</si>
  <si>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</si>
  <si>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</si>
  <si>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</si>
  <si>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</si>
  <si>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</si>
  <si>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</si>
  <si>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</si>
  <si>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</si>
  <si>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</si>
  <si>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</si>
  <si>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</si>
  <si>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</si>
  <si>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</si>
  <si>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</si>
  <si>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</si>
  <si>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</si>
  <si>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</si>
  <si>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</si>
  <si>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</si>
  <si>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</si>
  <si>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</si>
  <si>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</si>
  <si>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</si>
  <si>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</si>
  <si>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</si>
  <si>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</si>
  <si>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</si>
  <si>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</si>
  <si>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</si>
  <si>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</si>
  <si>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</si>
  <si>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</si>
  <si>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</si>
  <si>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</si>
  <si>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</si>
  <si>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</si>
  <si>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</si>
  <si>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</si>
  <si>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</si>
  <si>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</si>
  <si>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</si>
  <si>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</si>
  <si>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</si>
  <si>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</si>
  <si>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</si>
  <si>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</si>
  <si>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</si>
  <si>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</si>
  <si>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</si>
  <si>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</si>
  <si>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</si>
  <si>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</si>
  <si>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</si>
  <si>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</si>
  <si>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</si>
  <si>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</si>
  <si>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</si>
  <si>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</si>
  <si>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</si>
  <si>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</si>
  <si>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</si>
  <si>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</si>
  <si>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</si>
  <si>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</si>
  <si>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</si>
  <si>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</si>
  <si>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</si>
  <si>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</si>
  <si>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</si>
  <si>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</si>
  <si>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</si>
  <si>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</si>
  <si>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</si>
  <si>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</si>
  <si>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</si>
  <si>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</si>
  <si>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</si>
  <si>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</si>
  <si>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</si>
  <si>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</si>
  <si>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</si>
  <si>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</si>
  <si>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</si>
  <si>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</si>
  <si>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</si>
  <si>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</si>
  <si>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</si>
  <si>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</si>
  <si>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</si>
  <si>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</si>
  <si>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</si>
  <si>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</si>
  <si>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</si>
  <si>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</si>
  <si>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</si>
  <si>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</si>
  <si>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</si>
  <si>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</si>
  <si>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</si>
  <si>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</si>
  <si>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</si>
  <si>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</si>
  <si>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</si>
  <si>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</si>
  <si>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</si>
  <si>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</si>
  <si>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</si>
  <si>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</si>
  <si>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</si>
  <si>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</si>
  <si>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</si>
  <si>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</si>
  <si>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</si>
  <si>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</si>
  <si>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</si>
  <si>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</si>
  <si>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</si>
  <si>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</si>
  <si>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</si>
  <si>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</si>
  <si>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</si>
  <si>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</si>
  <si>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</si>
  <si>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</si>
  <si>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</si>
  <si>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</si>
  <si>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</si>
  <si>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</si>
  <si>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</si>
  <si>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</si>
  <si>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</si>
  <si>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</si>
  <si>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</si>
  <si>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</si>
  <si>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</si>
  <si>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</si>
  <si>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</si>
  <si>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</si>
  <si>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</si>
  <si>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</si>
  <si>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</si>
  <si>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</si>
  <si>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</si>
  <si>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</si>
  <si>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</si>
  <si>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</si>
  <si>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</si>
  <si>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</si>
  <si>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</si>
  <si>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</si>
  <si>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</si>
  <si>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</si>
  <si>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</si>
  <si>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</si>
  <si>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</si>
  <si>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</si>
  <si>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</si>
  <si>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</si>
  <si>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</si>
  <si>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</si>
  <si>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</si>
  <si>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</si>
  <si>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</si>
  <si>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</si>
  <si>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</si>
  <si>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</si>
  <si>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</si>
  <si>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</si>
  <si>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</si>
  <si>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</si>
  <si>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</si>
  <si>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</si>
  <si>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</si>
  <si>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</si>
  <si>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</si>
  <si>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</si>
  <si>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</si>
  <si>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</si>
  <si>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</si>
  <si>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</si>
  <si>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</si>
  <si>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</si>
  <si>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</si>
  <si>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</si>
  <si>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</si>
  <si>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</si>
  <si>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</si>
  <si>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</si>
  <si>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</si>
  <si>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</si>
  <si>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</si>
  <si>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</si>
  <si>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</si>
  <si>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</si>
  <si>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</si>
  <si>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</si>
  <si>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</si>
  <si>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</si>
  <si>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</si>
  <si>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</si>
  <si>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</si>
  <si>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</si>
  <si>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</si>
  <si>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</si>
  <si>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</si>
  <si>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</si>
  <si>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</si>
  <si>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</si>
  <si>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</si>
  <si>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</si>
  <si>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</si>
  <si>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</si>
  <si>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</si>
  <si>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</si>
  <si>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</si>
  <si>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</si>
  <si>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</si>
  <si>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</si>
  <si>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</si>
  <si>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</si>
  <si>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</si>
  <si>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</si>
  <si>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</si>
  <si>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</si>
  <si>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</si>
  <si>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</si>
  <si>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</si>
  <si>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</si>
  <si>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</si>
  <si>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</si>
  <si>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</si>
  <si>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</si>
  <si>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</si>
  <si>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</si>
  <si>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</si>
  <si>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</si>
  <si>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</si>
  <si>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</si>
  <si>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</si>
  <si>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</si>
  <si>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</si>
  <si>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</si>
  <si>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</si>
  <si>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</si>
  <si>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</si>
  <si>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</si>
  <si>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</si>
  <si>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</si>
  <si>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</si>
  <si>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</si>
  <si>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</si>
  <si>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</si>
  <si>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</si>
  <si>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</si>
  <si>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</si>
  <si>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</si>
  <si>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</si>
  <si>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</si>
  <si>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</si>
  <si>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</si>
  <si>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</si>
  <si>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</si>
  <si>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</si>
  <si>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</si>
  <si>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</si>
  <si>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</si>
  <si>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</si>
  <si>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</si>
  <si>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</si>
  <si>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</si>
  <si>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</si>
  <si>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</si>
  <si>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</si>
  <si>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</si>
  <si>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</si>
  <si>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</si>
  <si>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</si>
  <si>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</si>
  <si>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</si>
  <si>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</si>
  <si>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</si>
  <si>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</si>
  <si>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</si>
  <si>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</si>
  <si>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</si>
  <si>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</si>
  <si>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</si>
  <si>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</si>
  <si>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</si>
  <si>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</si>
  <si>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</si>
  <si>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</si>
  <si>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</si>
  <si>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</si>
  <si>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</si>
  <si>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</si>
  <si>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</si>
  <si>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</si>
  <si>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</si>
  <si>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</si>
  <si>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</si>
  <si>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</si>
  <si>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</si>
  <si>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</si>
  <si>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</si>
  <si>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</si>
  <si>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</si>
  <si>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</si>
  <si>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</si>
  <si>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</si>
  <si>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</si>
  <si>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</si>
  <si>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</si>
  <si>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</si>
  <si>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</si>
  <si>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</si>
  <si>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</si>
  <si>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</si>
  <si>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</si>
  <si>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</si>
  <si>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</si>
  <si>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</si>
  <si>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</si>
  <si>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</si>
  <si>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</si>
  <si>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</si>
  <si>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</si>
  <si>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</si>
  <si>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</si>
  <si>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</si>
  <si>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</si>
  <si>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</si>
  <si>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</si>
  <si>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</si>
  <si>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</si>
  <si>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</si>
  <si>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</si>
  <si>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</si>
  <si>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</si>
  <si>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</si>
  <si>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</si>
  <si>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</si>
  <si>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</si>
  <si>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</si>
  <si>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</si>
  <si>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</si>
  <si>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</si>
  <si>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</si>
  <si>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</si>
  <si>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</si>
  <si>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</si>
  <si>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</si>
  <si>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</si>
  <si>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</si>
  <si>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</si>
  <si>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</si>
  <si>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</si>
  <si>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</si>
  <si>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</si>
  <si>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</si>
  <si>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</si>
  <si>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</si>
  <si>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</si>
  <si>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</si>
  <si>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</si>
  <si>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</si>
  <si>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</si>
  <si>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</si>
  <si>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</si>
  <si>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</si>
  <si>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</si>
  <si>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</si>
  <si>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</si>
  <si>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</si>
  <si>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</si>
  <si>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</si>
  <si>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</si>
  <si>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</si>
  <si>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</si>
  <si>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</si>
  <si>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</si>
  <si>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</si>
  <si>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</si>
  <si>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</si>
  <si>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</si>
  <si>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</si>
  <si>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</si>
  <si>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</si>
  <si>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</si>
  <si>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</si>
  <si>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</si>
  <si>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</si>
  <si>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</si>
  <si>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</si>
  <si>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</si>
  <si>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</si>
  <si>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</si>
  <si>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</si>
  <si>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</si>
  <si>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</si>
  <si>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</si>
  <si>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</si>
  <si>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</si>
  <si>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</si>
  <si>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</si>
  <si>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</si>
  <si>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</si>
  <si>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</si>
  <si>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</si>
  <si>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</si>
  <si>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</si>
  <si>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</si>
  <si>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</si>
  <si>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</si>
  <si>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</si>
  <si>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</si>
  <si>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</si>
  <si>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</si>
  <si>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</si>
  <si>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</si>
  <si>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</si>
  <si>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</si>
  <si>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</si>
  <si>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</si>
  <si>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</si>
  <si>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</si>
  <si>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</si>
  <si>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</si>
  <si>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</si>
  <si>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</si>
  <si>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</si>
  <si>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</si>
  <si>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</si>
  <si>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</si>
  <si>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</si>
  <si>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</si>
  <si>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</si>
  <si>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</si>
  <si>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</si>
  <si>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</si>
  <si>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</si>
  <si>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</si>
  <si>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</si>
  <si>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</si>
  <si>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</si>
  <si>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</si>
  <si>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</si>
  <si>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</si>
  <si>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</si>
  <si>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</si>
  <si>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</si>
  <si>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</si>
  <si>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</si>
  <si>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</si>
  <si>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</si>
  <si>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</si>
  <si>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</si>
  <si>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</si>
  <si>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</si>
  <si>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</si>
  <si>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</si>
  <si>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</si>
  <si>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</si>
  <si>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</si>
  <si>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</si>
  <si>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</si>
  <si>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</si>
  <si>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</si>
  <si>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</si>
  <si>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</si>
  <si>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</si>
  <si>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</si>
  <si>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</si>
  <si>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</si>
  <si>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</si>
  <si>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</si>
  <si>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</si>
  <si>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</si>
  <si>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</si>
  <si>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</si>
  <si>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</si>
  <si>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</si>
  <si>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</si>
  <si>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</si>
  <si>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</si>
  <si>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</si>
  <si>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</si>
  <si>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</si>
  <si>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</si>
  <si>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</si>
  <si>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</si>
  <si>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</si>
  <si>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</si>
  <si>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</si>
  <si>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</si>
  <si>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</si>
  <si>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</si>
  <si>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</si>
  <si>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</si>
  <si>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</si>
  <si>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</si>
  <si>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</si>
  <si>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</si>
  <si>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</si>
  <si>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</si>
  <si>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</si>
  <si>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</si>
  <si>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</si>
  <si>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</si>
  <si>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</si>
  <si>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</si>
  <si>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</si>
  <si>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</si>
  <si>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</si>
  <si>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</si>
  <si>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</si>
  <si>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</si>
  <si>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</si>
  <si>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</si>
  <si>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</si>
  <si>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</si>
  <si>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</si>
  <si>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</si>
  <si>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</si>
  <si>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</si>
  <si>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</si>
  <si>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</si>
  <si>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</si>
  <si>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</si>
  <si>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</si>
  <si>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</si>
  <si>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</si>
  <si>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</si>
  <si>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</si>
  <si>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</si>
  <si>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</si>
  <si>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</si>
  <si>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</si>
  <si>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</si>
  <si>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</si>
  <si>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</si>
  <si>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</si>
  <si>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</si>
  <si>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</si>
  <si>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</si>
  <si>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</si>
  <si>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</si>
  <si>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</si>
  <si>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</si>
  <si>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</si>
  <si>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</si>
  <si>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</si>
  <si>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</si>
  <si>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</si>
  <si>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</si>
  <si>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</si>
  <si>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</si>
  <si>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</si>
  <si>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</si>
  <si>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</si>
  <si>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</si>
  <si>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</si>
  <si>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</si>
  <si>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</si>
  <si>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</si>
  <si>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</si>
  <si>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</si>
  <si>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</si>
  <si>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</si>
  <si>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</si>
  <si>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</si>
  <si>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</si>
  <si>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</si>
  <si>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</si>
  <si>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</si>
  <si>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</si>
  <si>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</si>
  <si>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</si>
  <si>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</si>
  <si>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</si>
  <si>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</si>
  <si>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</si>
  <si>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</si>
  <si>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</si>
  <si>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</si>
  <si>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</si>
  <si>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</si>
  <si>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</si>
  <si>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</si>
  <si>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</si>
  <si>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</si>
  <si>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</si>
  <si>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</si>
  <si>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</si>
  <si>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</si>
  <si>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</si>
  <si>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</si>
  <si>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</si>
  <si>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</si>
  <si>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</si>
  <si>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</si>
  <si>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</si>
  <si>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</si>
  <si>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</si>
  <si>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</si>
  <si>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</si>
  <si>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</si>
  <si>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</si>
  <si>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</si>
  <si>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</si>
  <si>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</si>
  <si>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</si>
  <si>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</si>
  <si>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</si>
  <si>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</si>
  <si>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</si>
  <si>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</si>
  <si>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</si>
  <si>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</si>
  <si>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</si>
  <si>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</si>
  <si>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</si>
  <si>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</si>
  <si>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</si>
  <si>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</si>
  <si>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</si>
  <si>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</si>
  <si>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</si>
  <si>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</si>
  <si>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</si>
  <si>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</si>
  <si>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</si>
  <si>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</si>
  <si>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</si>
  <si>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</si>
  <si>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</si>
  <si>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</si>
  <si>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</si>
  <si>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</si>
  <si>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</si>
  <si>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</si>
  <si>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</si>
  <si>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</si>
  <si>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</si>
  <si>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</si>
  <si>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</si>
  <si>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</si>
  <si>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</si>
  <si>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</si>
  <si>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</si>
  <si>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</si>
  <si>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</si>
  <si>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</si>
  <si>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</si>
  <si>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</si>
  <si>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</si>
  <si>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</si>
  <si>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</si>
  <si>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</si>
  <si>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</si>
  <si>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</si>
  <si>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</si>
  <si>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</si>
  <si>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</si>
  <si>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</si>
  <si>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</si>
  <si>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</si>
  <si>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</si>
  <si>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</si>
  <si>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</si>
  <si>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</si>
  <si>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</si>
  <si>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</si>
  <si>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</si>
  <si>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</si>
  <si>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</si>
  <si>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</si>
  <si>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</si>
  <si>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</si>
  <si>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</si>
  <si>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</si>
  <si>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</si>
  <si>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</si>
  <si>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</si>
  <si>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</si>
  <si>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</si>
  <si>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</si>
  <si>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</si>
  <si>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</si>
  <si>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</si>
  <si>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</si>
  <si>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</si>
  <si>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</si>
  <si>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</si>
  <si>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</si>
  <si>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</si>
  <si>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</si>
  <si>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</si>
  <si>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</si>
  <si>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</si>
  <si>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</si>
  <si>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</si>
  <si>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</si>
  <si>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</si>
  <si>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</si>
  <si>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</si>
  <si>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</si>
  <si>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</si>
  <si>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</si>
  <si>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</si>
  <si>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</si>
  <si>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</si>
  <si>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</si>
  <si>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</si>
  <si>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</si>
  <si>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</si>
  <si>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</si>
  <si>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</si>
  <si>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</si>
  <si>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</si>
  <si>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</si>
  <si>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</si>
  <si>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</si>
  <si>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</si>
  <si>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</si>
  <si>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</si>
  <si>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</si>
  <si>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</si>
  <si>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</si>
  <si>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</si>
  <si>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</si>
  <si>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</si>
  <si>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</si>
  <si>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</si>
  <si>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</si>
  <si>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</si>
  <si>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</si>
  <si>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</si>
  <si>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</si>
  <si>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</si>
  <si>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</si>
  <si>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</si>
  <si>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</si>
  <si>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</si>
  <si>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</si>
  <si>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</si>
  <si>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</si>
  <si>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</si>
  <si>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</si>
  <si>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</si>
  <si>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</si>
  <si>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</si>
  <si>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</si>
  <si>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</si>
  <si>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</si>
  <si>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</si>
  <si>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</si>
  <si>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</si>
  <si>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</si>
  <si>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</si>
  <si>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</si>
  <si>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</si>
  <si>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</si>
  <si>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</si>
  <si>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</si>
  <si>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</si>
  <si>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</si>
  <si>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</si>
  <si>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</si>
  <si>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</si>
  <si>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</si>
  <si>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</si>
  <si>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</si>
  <si>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</si>
  <si>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</si>
  <si>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</si>
  <si>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</si>
  <si>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</si>
  <si>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</si>
  <si>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</si>
  <si>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</si>
  <si>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</si>
  <si>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</si>
  <si>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</si>
  <si>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</si>
  <si>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</si>
  <si>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</si>
  <si>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</si>
  <si>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</si>
  <si>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</si>
  <si>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</si>
  <si>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</si>
  <si>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</si>
  <si>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</si>
  <si>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</si>
  <si>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</si>
  <si>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</si>
  <si>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</si>
  <si>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</si>
  <si>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</si>
  <si>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</si>
  <si>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房号</t>
    <phoneticPr fontId="134" type="noConversion"/>
  </si>
  <si>
    <t>抵押</t>
  </si>
  <si>
    <t>房地产抵押价值</t>
  </si>
  <si>
    <t>北京市</t>
  </si>
  <si>
    <t>自然人</t>
  </si>
  <si>
    <t>六里桥街道</t>
    <phoneticPr fontId="3" type="noConversion"/>
  </si>
  <si>
    <t>成新度</t>
  </si>
  <si>
    <t>收益法 (元)</t>
  </si>
  <si>
    <t>现房</t>
  </si>
  <si>
    <t>办公项目</t>
  </si>
  <si>
    <t>否</t>
  </si>
  <si>
    <t>网上查询</t>
    <phoneticPr fontId="3" type="noConversion"/>
  </si>
  <si>
    <t>地上</t>
  </si>
  <si>
    <t>是</t>
  </si>
  <si>
    <t>自定义容积率</t>
  </si>
  <si>
    <t>与级别开发程度一致</t>
  </si>
  <si>
    <t>按公示增长率计算</t>
  </si>
  <si>
    <t>中心城区</t>
  </si>
  <si>
    <t>较好</t>
  </si>
  <si>
    <t>一般</t>
  </si>
  <si>
    <t>好</t>
  </si>
  <si>
    <t>级别平均</t>
    <phoneticPr fontId="7" type="noConversion"/>
  </si>
  <si>
    <t>推算土地</t>
    <phoneticPr fontId="3" type="noConversion"/>
  </si>
  <si>
    <t>未包含在土地购买价格中</t>
  </si>
  <si>
    <t>已包含在土地取得成本中</t>
  </si>
  <si>
    <t>成本法 (元)</t>
  </si>
  <si>
    <t>押一</t>
  </si>
  <si>
    <t>钢混</t>
  </si>
  <si>
    <t>非生产用房</t>
  </si>
  <si>
    <t>租赁合同</t>
    <phoneticPr fontId="3" type="noConversion"/>
  </si>
  <si>
    <t>面积</t>
    <phoneticPr fontId="3" type="noConversion"/>
  </si>
  <si>
    <t>年租金</t>
    <phoneticPr fontId="3" type="noConversion"/>
  </si>
  <si>
    <r>
      <rPr>
        <sz val="10"/>
        <color indexed="8"/>
        <rFont val="宋体"/>
        <family val="3"/>
        <charset val="134"/>
      </rPr>
      <t>每三年递增</t>
    </r>
    <r>
      <rPr>
        <sz val="10"/>
        <color indexed="8"/>
        <rFont val="Arial"/>
        <family val="2"/>
      </rPr>
      <t>5%</t>
    </r>
    <phoneticPr fontId="3" type="noConversion"/>
  </si>
  <si>
    <t>楼面单价</t>
  </si>
  <si>
    <t>自定义</t>
  </si>
  <si>
    <r>
      <t>总高2</t>
    </r>
    <r>
      <rPr>
        <sz val="11"/>
        <color theme="1"/>
        <rFont val="宋体"/>
        <family val="3"/>
        <charset val="134"/>
        <scheme val="minor"/>
      </rPr>
      <t>4层，4层以上为住宅</t>
    </r>
    <phoneticPr fontId="134" type="noConversion"/>
  </si>
  <si>
    <t>周边无出售案例</t>
    <phoneticPr fontId="134" type="noConversion"/>
  </si>
  <si>
    <t>以下案例为住宅</t>
    <phoneticPr fontId="134" type="noConversion"/>
  </si>
  <si>
    <r>
      <rPr>
        <sz val="10"/>
        <color indexed="8"/>
        <rFont val="宋体"/>
        <family val="3"/>
        <charset val="134"/>
      </rPr>
      <t>需求单价到</t>
    </r>
    <r>
      <rPr>
        <sz val="10"/>
        <color indexed="8"/>
        <rFont val="Arial"/>
        <family val="2"/>
      </rPr>
      <t>25000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</si>
</sst>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0" fontId="272"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2"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260350</xdr:colOff>
      <xdr:row>2</xdr:row>
      <xdr:rowOff>31750</xdr:rowOff>
    </xdr:from>
    <xdr:to>
      <xdr:col>19</xdr:col>
      <xdr:colOff>541321</xdr:colOff>
      <xdr:row>35</xdr:row>
      <xdr:rowOff>20846</xdr:rowOff>
    </xdr:to>
    <xdr:pic>
      <xdr:nvPicPr>
        <xdr:cNvPr id="2" name="图片 1">
          <a:extLst>
            <a:ext uri="{FF2B5EF4-FFF2-40B4-BE49-F238E27FC236}">
              <a16:creationId xmlns:a16="http://schemas.microsoft.com/office/drawing/2014/main" id="{96D1F624-C59B-4FAC-8A6E-FF0C7A0635CE}"/>
            </a:ext>
          </a:extLst>
        </xdr:cNvPr>
        <xdr:cNvPicPr>
          <a:picLocks noChangeAspect="1"/>
        </xdr:cNvPicPr>
      </xdr:nvPicPr>
      <xdr:blipFill>
        <a:blip xmlns:r="http://schemas.openxmlformats.org/officeDocument/2006/relationships" r:embed="rId1"/>
        <a:stretch>
          <a:fillRect/>
        </a:stretch>
      </xdr:blipFill>
      <xdr:spPr>
        <a:xfrm>
          <a:off x="2698750" y="387350"/>
          <a:ext cx="9424971" cy="5856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438524</xdr:colOff>
      <xdr:row>37</xdr:row>
      <xdr:rowOff>151093</xdr:rowOff>
    </xdr:to>
    <xdr:pic>
      <xdr:nvPicPr>
        <xdr:cNvPr id="2" name="图片 1">
          <a:extLst>
            <a:ext uri="{FF2B5EF4-FFF2-40B4-BE49-F238E27FC236}">
              <a16:creationId xmlns:a16="http://schemas.microsoft.com/office/drawing/2014/main" id="{1F62560C-E34F-AD01-181C-0CC92038752D}"/>
            </a:ext>
          </a:extLst>
        </xdr:cNvPr>
        <xdr:cNvPicPr>
          <a:picLocks noChangeAspect="1"/>
        </xdr:cNvPicPr>
      </xdr:nvPicPr>
      <xdr:blipFill>
        <a:blip xmlns:r="http://schemas.openxmlformats.org/officeDocument/2006/relationships" r:embed="rId1"/>
        <a:stretch>
          <a:fillRect/>
        </a:stretch>
      </xdr:blipFill>
      <xdr:spPr>
        <a:xfrm>
          <a:off x="0" y="0"/>
          <a:ext cx="8972924" cy="6729693"/>
        </a:xfrm>
        <a:prstGeom prst="rect">
          <a:avLst/>
        </a:prstGeom>
      </xdr:spPr>
    </xdr:pic>
    <xdr:clientData/>
  </xdr:twoCellAnchor>
  <xdr:twoCellAnchor editAs="oneCell">
    <xdr:from>
      <xdr:col>0</xdr:col>
      <xdr:colOff>0</xdr:colOff>
      <xdr:row>38</xdr:row>
      <xdr:rowOff>76200</xdr:rowOff>
    </xdr:from>
    <xdr:to>
      <xdr:col>16</xdr:col>
      <xdr:colOff>284515</xdr:colOff>
      <xdr:row>82</xdr:row>
      <xdr:rowOff>36793</xdr:rowOff>
    </xdr:to>
    <xdr:pic>
      <xdr:nvPicPr>
        <xdr:cNvPr id="3" name="图片 2">
          <a:extLst>
            <a:ext uri="{FF2B5EF4-FFF2-40B4-BE49-F238E27FC236}">
              <a16:creationId xmlns:a16="http://schemas.microsoft.com/office/drawing/2014/main" id="{6BB0B613-854A-857A-C6F0-87307B90567E}"/>
            </a:ext>
          </a:extLst>
        </xdr:cNvPr>
        <xdr:cNvPicPr>
          <a:picLocks noChangeAspect="1"/>
        </xdr:cNvPicPr>
      </xdr:nvPicPr>
      <xdr:blipFill>
        <a:blip xmlns:r="http://schemas.openxmlformats.org/officeDocument/2006/relationships" r:embed="rId2"/>
        <a:stretch>
          <a:fillRect/>
        </a:stretch>
      </xdr:blipFill>
      <xdr:spPr>
        <a:xfrm>
          <a:off x="0" y="6832600"/>
          <a:ext cx="10038115" cy="7783793"/>
        </a:xfrm>
        <a:prstGeom prst="rect">
          <a:avLst/>
        </a:prstGeom>
      </xdr:spPr>
    </xdr:pic>
    <xdr:clientData/>
  </xdr:twoCellAnchor>
  <xdr:twoCellAnchor editAs="oneCell">
    <xdr:from>
      <xdr:col>0</xdr:col>
      <xdr:colOff>31751</xdr:colOff>
      <xdr:row>81</xdr:row>
      <xdr:rowOff>108182</xdr:rowOff>
    </xdr:from>
    <xdr:to>
      <xdr:col>13</xdr:col>
      <xdr:colOff>425451</xdr:colOff>
      <xdr:row>109</xdr:row>
      <xdr:rowOff>154286</xdr:rowOff>
    </xdr:to>
    <xdr:pic>
      <xdr:nvPicPr>
        <xdr:cNvPr id="4" name="图片 3">
          <a:extLst>
            <a:ext uri="{FF2B5EF4-FFF2-40B4-BE49-F238E27FC236}">
              <a16:creationId xmlns:a16="http://schemas.microsoft.com/office/drawing/2014/main" id="{F2E5B6F8-480B-3E24-726E-A83FBEBAB9CF}"/>
            </a:ext>
          </a:extLst>
        </xdr:cNvPr>
        <xdr:cNvPicPr>
          <a:picLocks noChangeAspect="1"/>
        </xdr:cNvPicPr>
      </xdr:nvPicPr>
      <xdr:blipFill>
        <a:blip xmlns:r="http://schemas.openxmlformats.org/officeDocument/2006/relationships" r:embed="rId3"/>
        <a:stretch>
          <a:fillRect/>
        </a:stretch>
      </xdr:blipFill>
      <xdr:spPr>
        <a:xfrm>
          <a:off x="31751" y="14509982"/>
          <a:ext cx="8318500" cy="5024504"/>
        </a:xfrm>
        <a:prstGeom prst="rect">
          <a:avLst/>
        </a:prstGeom>
      </xdr:spPr>
    </xdr:pic>
    <xdr:clientData/>
  </xdr:twoCellAnchor>
  <xdr:twoCellAnchor>
    <xdr:from>
      <xdr:col>9</xdr:col>
      <xdr:colOff>438150</xdr:colOff>
      <xdr:row>20</xdr:row>
      <xdr:rowOff>12700</xdr:rowOff>
    </xdr:from>
    <xdr:to>
      <xdr:col>10</xdr:col>
      <xdr:colOff>234950</xdr:colOff>
      <xdr:row>21</xdr:row>
      <xdr:rowOff>38100</xdr:rowOff>
    </xdr:to>
    <xdr:sp macro="" textlink="">
      <xdr:nvSpPr>
        <xdr:cNvPr id="5" name="椭圆 4">
          <a:extLst>
            <a:ext uri="{FF2B5EF4-FFF2-40B4-BE49-F238E27FC236}">
              <a16:creationId xmlns:a16="http://schemas.microsoft.com/office/drawing/2014/main" id="{6BAAEBE1-2FCA-F167-C37C-7C9E35A99C53}"/>
            </a:ext>
          </a:extLst>
        </xdr:cNvPr>
        <xdr:cNvSpPr/>
      </xdr:nvSpPr>
      <xdr:spPr>
        <a:xfrm>
          <a:off x="5924550" y="3568700"/>
          <a:ext cx="406400" cy="203200"/>
        </a:xfrm>
        <a:prstGeom prst="ellipse">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17</xdr:col>
      <xdr:colOff>76200</xdr:colOff>
      <xdr:row>7</xdr:row>
      <xdr:rowOff>133350</xdr:rowOff>
    </xdr:from>
    <xdr:to>
      <xdr:col>32</xdr:col>
      <xdr:colOff>360771</xdr:colOff>
      <xdr:row>69</xdr:row>
      <xdr:rowOff>138321</xdr:rowOff>
    </xdr:to>
    <xdr:pic>
      <xdr:nvPicPr>
        <xdr:cNvPr id="6" name="图片 5">
          <a:extLst>
            <a:ext uri="{FF2B5EF4-FFF2-40B4-BE49-F238E27FC236}">
              <a16:creationId xmlns:a16="http://schemas.microsoft.com/office/drawing/2014/main" id="{19EDA019-875F-208B-C933-8570C8113737}"/>
            </a:ext>
          </a:extLst>
        </xdr:cNvPr>
        <xdr:cNvPicPr>
          <a:picLocks noChangeAspect="1"/>
        </xdr:cNvPicPr>
      </xdr:nvPicPr>
      <xdr:blipFill>
        <a:blip xmlns:r="http://schemas.openxmlformats.org/officeDocument/2006/relationships" r:embed="rId4"/>
        <a:stretch>
          <a:fillRect/>
        </a:stretch>
      </xdr:blipFill>
      <xdr:spPr>
        <a:xfrm>
          <a:off x="10439400" y="1377950"/>
          <a:ext cx="9428571" cy="110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估价对象为北京市房地产，为所有。根据《国有土地使用证》[]，估价对象（分摊）出让国有建设用地使用权面积为0平方米，建筑面积为50.74平方米。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估价对象为北京市房地产,属开发建设的办公项目，该项目尚在开发建设中。根据《国有土地使用证》[]，估价对象（分摊）出让国有建设用地使用权面积为0平方米，规划建筑面积为50.74平方米。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2025年12月17日</v>
      </c>
    </row>
    <row r="13" spans="1:2">
      <c r="A13" s="1119" t="s">
        <v>529</v>
      </c>
      <c r="B13" s="1120" t="str">
        <f>'预评函-1'!A18</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119</v>
      </c>
    </row>
    <row r="21" spans="1:2">
      <c r="A21" s="1119" t="s">
        <v>537</v>
      </c>
      <c r="B21" s="1120">
        <f ca="1">'预评函-2'!D7</f>
        <v>23508</v>
      </c>
    </row>
    <row r="22" spans="1:2">
      <c r="A22" s="1119" t="s">
        <v>538</v>
      </c>
      <c r="B22" s="1120" t="str">
        <f ca="1">'预评函-2'!D6</f>
        <v>壹佰壹拾玖万元整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119</v>
      </c>
    </row>
    <row r="31" spans="1:2">
      <c r="A31" s="1119" t="s">
        <v>576</v>
      </c>
      <c r="B31" s="1120">
        <f ca="1">'预评函-2'!D15</f>
        <v>23508</v>
      </c>
    </row>
    <row r="32" spans="1:2">
      <c r="A32" s="1119" t="s">
        <v>543</v>
      </c>
      <c r="B32" s="1120" t="str">
        <f ca="1">'预评函-2'!D14</f>
        <v>壹佰壹拾玖万元整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50.74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3408</v>
      </c>
      <c r="Z2" s="1445" t="s">
        <v>2451</v>
      </c>
      <c r="AA2" s="1445" t="s">
        <v>3409</v>
      </c>
      <c r="AB2" s="1445" t="s">
        <v>2478</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3339</v>
      </c>
      <c r="X7" s="1445" t="s">
        <v>2448</v>
      </c>
      <c r="Z7" s="1445" t="s">
        <v>2461</v>
      </c>
      <c r="AB7" s="1445" t="s">
        <v>2487</v>
      </c>
    </row>
    <row r="8" spans="1:28">
      <c r="A8" s="1441" t="s">
        <v>1026</v>
      </c>
      <c r="B8" s="1441" t="s">
        <v>1027</v>
      </c>
      <c r="C8" s="1442" t="s">
        <v>319</v>
      </c>
      <c r="F8" s="1443" t="s">
        <v>1028</v>
      </c>
      <c r="H8" s="1443" t="s">
        <v>2576</v>
      </c>
      <c r="I8" s="1443" t="s">
        <v>3340</v>
      </c>
      <c r="X8" s="1445" t="s">
        <v>3411</v>
      </c>
      <c r="Z8" s="1445" t="s">
        <v>2463</v>
      </c>
      <c r="AB8" s="1445" t="s">
        <v>2489</v>
      </c>
    </row>
    <row r="9" spans="1:28">
      <c r="A9" s="1441" t="s">
        <v>1029</v>
      </c>
      <c r="B9" s="1441" t="s">
        <v>1030</v>
      </c>
      <c r="C9" s="1442" t="s">
        <v>320</v>
      </c>
      <c r="F9" s="1443" t="s">
        <v>1031</v>
      </c>
      <c r="H9" s="1443"/>
      <c r="I9" s="1445" t="s">
        <v>3341</v>
      </c>
      <c r="X9" s="1445" t="s">
        <v>3412</v>
      </c>
      <c r="Z9" s="1445" t="s">
        <v>2465</v>
      </c>
      <c r="AB9" s="1445" t="s">
        <v>2491</v>
      </c>
    </row>
    <row r="10" spans="1:28">
      <c r="A10" s="1441" t="s">
        <v>1032</v>
      </c>
      <c r="B10" s="1441" t="s">
        <v>1033</v>
      </c>
      <c r="C10" s="1442" t="s">
        <v>321</v>
      </c>
      <c r="F10" s="1443" t="s">
        <v>2577</v>
      </c>
      <c r="I10" s="1445" t="s">
        <v>3342</v>
      </c>
      <c r="Z10" s="1445" t="s">
        <v>2467</v>
      </c>
      <c r="AB10" s="1445" t="s">
        <v>2493</v>
      </c>
    </row>
    <row r="11" spans="1:28">
      <c r="A11" s="1441" t="s">
        <v>1034</v>
      </c>
      <c r="B11" s="1441" t="s">
        <v>1035</v>
      </c>
      <c r="C11" s="1442" t="s">
        <v>322</v>
      </c>
      <c r="F11" s="1443" t="s">
        <v>13</v>
      </c>
      <c r="I11" s="1445" t="s">
        <v>3343</v>
      </c>
      <c r="Z11" s="1445" t="s">
        <v>2469</v>
      </c>
      <c r="AB11" s="1445" t="s">
        <v>2495</v>
      </c>
    </row>
    <row r="12" spans="1:28">
      <c r="A12" s="1441" t="s">
        <v>1036</v>
      </c>
      <c r="B12" s="1441" t="s">
        <v>1037</v>
      </c>
      <c r="C12" s="1442" t="s">
        <v>323</v>
      </c>
      <c r="I12" s="1445" t="s">
        <v>3344</v>
      </c>
      <c r="Z12" s="1445" t="s">
        <v>2471</v>
      </c>
      <c r="AB12" s="1445" t="s">
        <v>2497</v>
      </c>
    </row>
    <row r="13" spans="1:28">
      <c r="A13" s="1441" t="s">
        <v>1038</v>
      </c>
      <c r="B13" s="1441" t="s">
        <v>1039</v>
      </c>
      <c r="C13" s="1442" t="s">
        <v>324</v>
      </c>
      <c r="I13" s="1445" t="s">
        <v>3345</v>
      </c>
      <c r="Z13" s="1445" t="s">
        <v>2473</v>
      </c>
    </row>
    <row r="14" spans="1:28">
      <c r="A14" s="1441" t="s">
        <v>1040</v>
      </c>
      <c r="B14" s="1441" t="s">
        <v>1041</v>
      </c>
      <c r="C14" s="1443" t="s">
        <v>13</v>
      </c>
      <c r="I14" s="1445" t="s">
        <v>3346</v>
      </c>
      <c r="Z14" s="1445" t="s">
        <v>2475</v>
      </c>
    </row>
    <row r="15" spans="1:28">
      <c r="A15" s="1441" t="s">
        <v>1042</v>
      </c>
      <c r="B15" s="1441" t="s">
        <v>1043</v>
      </c>
      <c r="C15" s="1442"/>
      <c r="I15" s="1445" t="s">
        <v>3347</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7" t="s">
        <v>2579</v>
      </c>
      <c r="J2" s="3217"/>
      <c r="K2" s="3217"/>
      <c r="L2" s="3217"/>
      <c r="M2" s="3217"/>
      <c r="N2" s="3217"/>
      <c r="O2" s="3217"/>
      <c r="P2" s="3217"/>
      <c r="Q2" s="3217"/>
      <c r="R2" s="3217"/>
    </row>
    <row r="3" spans="1:18">
      <c r="A3" s="2763" t="s">
        <v>2500</v>
      </c>
      <c r="B3" s="2764">
        <f>项目基本情况!D3</f>
        <v>46008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v>
      </c>
      <c r="D5" s="2768">
        <f>IF(ISERROR(ROUND(POWER(1+E5,A5-C5)*(POWER(1+E5,C5)-1)/(POWER(1+E5,A5)-1),3)),0,ROUND(POWER(1+E5,A5-C5)*(POWER(1+E5,C5)-1)/(POWER(1+E5,A5)-1),4))</f>
        <v>4.8599999999999997E-2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11.01</v>
      </c>
      <c r="D6" s="2768">
        <f>IF(ISERROR(ROUND(POWER(1+E6,A6-C6)*(POWER(1+E6,C6)-1)/(POWER(1+E6,A6)-1),3)),0,ROUND(POWER(1+E6,A6-C6)*(POWER(1+E6,C6)-1)/(POWER(1+E6,A6)-1),4))</f>
        <v>0.40810000000000002</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31.02</v>
      </c>
      <c r="D7" s="2768">
        <f>IF(ISERROR(ROUND(POWER(1+E7,A7-C7)*(POWER(1+E7,C7)-1)/(POWER(1+E7,A7)-1),3)),0,ROUND(POWER(1+E7,A7-C7)*(POWER(1+E7,C7)-1)/(POWER(1+E7,A7)-1),4))</f>
        <v>0.75209999999999999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5" thickBot="1">
      <c r="A18" s="2773" t="s">
        <v>2515</v>
      </c>
      <c r="B18" s="2774">
        <f>ROUND(B17*F11/F12,2)</f>
        <v>5541.87</v>
      </c>
      <c r="C18" s="2774">
        <f>ROUND(F11/F12,4)</f>
        <v>1.1521999999999999</v>
      </c>
      <c r="D18" s="2775"/>
      <c r="E18" s="2775"/>
      <c r="F18" s="2776"/>
    </row>
    <row r="19" spans="1:14" ht="14.5" thickBot="1"/>
    <row r="20" spans="1:14" s="2809" customFormat="1" ht="14.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2169</v>
      </c>
      <c r="B3" s="2185"/>
      <c r="C3" s="2186" t="s">
        <v>2170</v>
      </c>
      <c r="D3" s="2185">
        <v>46008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2174</v>
      </c>
      <c r="B7" s="2198"/>
      <c r="C7" s="2196"/>
      <c r="D7" s="2197"/>
      <c r="E7" s="2441"/>
      <c r="F7" s="2442"/>
      <c r="G7" s="2442"/>
      <c r="H7" s="2442"/>
      <c r="I7" s="2442"/>
      <c r="J7" s="2245"/>
      <c r="K7" s="2402"/>
      <c r="L7" s="2399"/>
      <c r="M7" s="2399"/>
      <c r="N7" s="2245"/>
      <c r="O7" s="1670"/>
      <c r="P7" s="2245"/>
      <c r="Q7" s="2245"/>
      <c r="R7" s="2245"/>
    </row>
    <row r="8" spans="1:30" ht="13">
      <c r="A8" s="2199" t="s">
        <v>2175</v>
      </c>
      <c r="B8" s="2200" t="s">
        <v>3417</v>
      </c>
      <c r="C8" s="2201"/>
      <c r="D8" s="3228" t="s">
        <v>2176</v>
      </c>
      <c r="E8" s="2202" t="s">
        <v>3418</v>
      </c>
      <c r="F8" s="2203"/>
      <c r="G8" s="2442"/>
      <c r="H8" s="2442"/>
      <c r="I8" s="2442"/>
      <c r="J8" s="2245"/>
      <c r="K8" s="2400"/>
      <c r="L8" s="2399"/>
      <c r="M8" s="2399"/>
      <c r="N8" s="2245"/>
      <c r="O8" s="1670"/>
      <c r="P8" s="2245"/>
      <c r="Q8" s="2245"/>
      <c r="R8" s="2245"/>
    </row>
    <row r="9" spans="1:30" ht="13.5" thickBot="1">
      <c r="A9" s="2204" t="s">
        <v>2177</v>
      </c>
      <c r="B9" s="2205" t="s">
        <v>3418</v>
      </c>
      <c r="C9" s="2206"/>
      <c r="D9" s="3229"/>
      <c r="E9" s="2205"/>
      <c r="F9" s="2207"/>
      <c r="G9" s="2443"/>
      <c r="H9" s="2443"/>
      <c r="I9" s="2443"/>
      <c r="J9" s="2245"/>
      <c r="K9" s="2402"/>
      <c r="L9" s="2399"/>
      <c r="M9" s="2399"/>
      <c r="N9" s="2245"/>
      <c r="O9" s="1670"/>
      <c r="P9" s="2245"/>
      <c r="Q9" s="2245"/>
      <c r="R9" s="2245"/>
    </row>
    <row r="10" spans="1:30" ht="13.5" thickTop="1">
      <c r="A10" s="2208" t="s">
        <v>2178</v>
      </c>
      <c r="B10" s="2209" t="s">
        <v>3419</v>
      </c>
      <c r="C10" s="2210"/>
      <c r="D10" s="2193"/>
      <c r="E10" s="2211" t="s">
        <v>2179</v>
      </c>
      <c r="F10" s="2444"/>
      <c r="G10" s="2445"/>
      <c r="H10" s="2446"/>
      <c r="I10" s="2447"/>
      <c r="J10" s="2245"/>
      <c r="K10" s="2402"/>
      <c r="L10" s="2399"/>
      <c r="M10" s="2399"/>
      <c r="N10" s="2245"/>
      <c r="O10" s="1670"/>
      <c r="P10" s="2245"/>
      <c r="Q10" s="2245"/>
      <c r="R10" s="2245"/>
    </row>
    <row r="11" spans="1:30" ht="13">
      <c r="A11" s="2212" t="s">
        <v>2180</v>
      </c>
      <c r="B11" s="2213" t="s">
        <v>3420</v>
      </c>
      <c r="C11" s="2214"/>
      <c r="D11" s="2215"/>
      <c r="E11" s="2182"/>
      <c r="F11" s="2182"/>
      <c r="G11" s="2182"/>
      <c r="H11" s="2182"/>
      <c r="I11" s="2182"/>
      <c r="J11" s="2802"/>
      <c r="K11" s="2399"/>
      <c r="L11" s="2399"/>
      <c r="M11" s="2399"/>
      <c r="N11" s="2245"/>
      <c r="O11" s="1670"/>
      <c r="P11" s="2245"/>
      <c r="Q11" s="2245"/>
      <c r="R11" s="2245"/>
    </row>
    <row r="12" spans="1:30" ht="13">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ht="13">
      <c r="A13" s="3122" t="s">
        <v>3329</v>
      </c>
      <c r="B13" s="2218" t="s">
        <v>2189</v>
      </c>
      <c r="C13" s="803"/>
      <c r="D13" s="803"/>
      <c r="E13" s="803">
        <v>54405</v>
      </c>
      <c r="F13" s="803"/>
      <c r="G13" s="803"/>
      <c r="H13" s="803"/>
      <c r="I13" s="803"/>
      <c r="J13" s="2803"/>
      <c r="K13" s="2399"/>
      <c r="L13" s="2399"/>
      <c r="M13" s="2245"/>
      <c r="N13" s="1670"/>
      <c r="O13" s="2245"/>
      <c r="P13" s="2245"/>
      <c r="Q13" s="2245"/>
      <c r="AD13" s="1618"/>
    </row>
    <row r="14" spans="1:30" ht="13">
      <c r="A14" s="1018"/>
      <c r="B14" s="2218" t="s">
        <v>2190</v>
      </c>
      <c r="C14" s="2219"/>
      <c r="D14" s="2219"/>
      <c r="E14" s="2219">
        <v>50</v>
      </c>
      <c r="F14" s="2219"/>
      <c r="G14" s="2219"/>
      <c r="H14" s="2219"/>
      <c r="I14" s="2219"/>
      <c r="J14" s="2804"/>
      <c r="K14" s="2399"/>
      <c r="L14" s="2399"/>
      <c r="M14" s="2245"/>
      <c r="N14" s="1670"/>
      <c r="O14" s="2245"/>
      <c r="P14" s="2245"/>
      <c r="Q14" s="2245"/>
      <c r="AD14" s="1618"/>
    </row>
    <row r="15" spans="1:30" ht="13">
      <c r="A15" s="312"/>
      <c r="B15" s="2220" t="s">
        <v>2191</v>
      </c>
      <c r="C15" s="2221" t="str">
        <f>IF(A13="出让",IF(C13="","",ROUNDDOWN(MIN((C13-$D$3)/365,C14),2)),C14)</f>
        <v/>
      </c>
      <c r="D15" s="2221" t="str">
        <f>IF(A13="出让",IF(D13="","",ROUNDDOWN(MIN((D13-$D$3)/365,D14),2)),D14)</f>
        <v/>
      </c>
      <c r="E15" s="2221">
        <f>IF(A13="出让",IF(E13="","",ROUNDDOWN(MIN((E13-$D$3)/365,E14),2)),E14)</f>
        <v>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2192</v>
      </c>
      <c r="B16" s="3235"/>
      <c r="C16" s="3236"/>
      <c r="D16" s="3237"/>
      <c r="E16" s="2222" t="s">
        <v>2193</v>
      </c>
      <c r="F16" s="3238"/>
      <c r="G16" s="3239"/>
      <c r="H16" s="3239"/>
      <c r="I16" s="3240"/>
      <c r="J16" s="2245"/>
      <c r="K16" s="2403"/>
      <c r="L16" s="1670"/>
      <c r="M16" s="1670"/>
      <c r="N16" s="2245"/>
      <c r="O16" s="1670"/>
      <c r="P16" s="2245"/>
      <c r="Q16" s="2245"/>
      <c r="R16" s="2245"/>
    </row>
    <row r="17" spans="1:28" ht="13">
      <c r="A17" s="305" t="s">
        <v>2194</v>
      </c>
      <c r="B17" s="294" t="s">
        <v>2195</v>
      </c>
      <c r="C17" s="8">
        <f>'数据-汇总表'!E3</f>
        <v>50.74</v>
      </c>
      <c r="D17" s="1256" t="s">
        <v>2196</v>
      </c>
      <c r="E17" s="3241" t="s">
        <v>2197</v>
      </c>
      <c r="F17" s="3242"/>
      <c r="G17" s="3242"/>
      <c r="H17" s="3242"/>
      <c r="I17" s="3243"/>
      <c r="J17" s="2245"/>
      <c r="K17" s="2404"/>
      <c r="L17" s="1670"/>
      <c r="M17" s="1670"/>
      <c r="N17" s="2245"/>
      <c r="O17" s="1670"/>
      <c r="P17" s="2245"/>
      <c r="Q17" s="2245"/>
      <c r="R17" s="2245"/>
      <c r="S17" s="2245"/>
      <c r="T17" s="2245"/>
      <c r="U17" s="2245"/>
      <c r="V17" s="2245"/>
    </row>
    <row r="18" spans="1:28" ht="26.5" thickBot="1">
      <c r="A18" s="2223" t="s">
        <v>2198</v>
      </c>
      <c r="B18" s="1027" t="s">
        <v>2199</v>
      </c>
      <c r="C18" s="2224">
        <f>'数据-汇总表'!D3</f>
        <v>0</v>
      </c>
      <c r="D18" s="1029" t="s">
        <v>2200</v>
      </c>
      <c r="E18" s="3244" t="s">
        <v>2201</v>
      </c>
      <c r="F18" s="3245"/>
      <c r="G18" s="3245"/>
      <c r="H18" s="3245"/>
      <c r="I18" s="3246"/>
      <c r="J18" s="2245"/>
      <c r="K18" s="2404"/>
      <c r="L18" s="1670"/>
      <c r="M18" s="1670"/>
      <c r="N18" s="2245"/>
      <c r="O18" s="1670"/>
      <c r="P18" s="2245"/>
      <c r="Q18" s="2245"/>
      <c r="R18" s="2245"/>
      <c r="S18" s="2245"/>
      <c r="T18" s="2245"/>
      <c r="U18" s="2245"/>
      <c r="V18" s="2245"/>
    </row>
    <row r="19" spans="1:28" ht="40" thickTop="1" thickBot="1">
      <c r="A19" s="319" t="s">
        <v>1055</v>
      </c>
      <c r="B19" s="299" t="s">
        <v>2202</v>
      </c>
      <c r="C19" s="1455" t="s">
        <v>3426</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2204</v>
      </c>
      <c r="B20" s="3231" t="s">
        <v>2205</v>
      </c>
      <c r="C20" s="3232"/>
      <c r="D20" s="3233" t="s">
        <v>2206</v>
      </c>
      <c r="E20" s="3234"/>
      <c r="F20" s="2430" t="s">
        <v>1056</v>
      </c>
      <c r="G20" s="2442"/>
      <c r="H20" s="2442"/>
      <c r="I20" s="2442"/>
      <c r="J20" s="2245"/>
      <c r="K20" s="323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2208</v>
      </c>
      <c r="C21" s="2296" t="s">
        <v>1057</v>
      </c>
      <c r="D21" s="1460" t="s">
        <v>2209</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2210</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9" t="s">
        <v>2213</v>
      </c>
      <c r="B27" s="312" t="s">
        <v>2214</v>
      </c>
      <c r="C27" s="2225" t="s">
        <v>3425</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9"/>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9"/>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0"/>
      <c r="B30" s="294" t="s">
        <v>2217</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2218</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8" t="s">
        <v>2227</v>
      </c>
      <c r="T34" s="315" t="str">
        <f>NUMBERSTRING(7-K34,1)&amp;"通"</f>
        <v>七通</v>
      </c>
      <c r="U34" s="2245"/>
      <c r="V34" s="2245"/>
    </row>
    <row r="35" spans="1:30">
      <c r="A35" s="2236"/>
      <c r="B35" s="3218" t="s">
        <v>2228</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ht="13">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ht="13">
      <c r="A37" s="2415" t="s">
        <v>2229</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t="s">
        <v>177</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9" sqref="D19"/>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345.78999999999996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345.78999999999996</v>
      </c>
      <c r="H5" s="13">
        <f t="shared" ref="H5:AT5" si="0">SUM(H13:H656)</f>
        <v>345.78999999999996</v>
      </c>
      <c r="I5" s="13">
        <f t="shared" si="0"/>
        <v>345.78999999999996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50.74</v>
      </c>
      <c r="BA5" s="15">
        <f t="shared" si="1"/>
        <v>50.74</v>
      </c>
      <c r="BB5" s="15">
        <f t="shared" si="1"/>
        <v>50.74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f>面积!A2</f>
        <v>208</v>
      </c>
      <c r="D13" s="1513"/>
      <c r="E13" s="13">
        <f>IF($C$3="是",ROUND($A$3*G13/$B$3,2),ROUND($A$3*(G13-AT13)/$B$3,2))</f>
        <v>0</v>
      </c>
      <c r="F13" s="29"/>
      <c r="G13" s="30">
        <f>H13+AC13+AT13</f>
        <v>37.619999999999997</v>
      </c>
      <c r="H13" s="17">
        <f>SUMIF(I$12:AB$12,"总值",I13:AB13)</f>
        <v>37.619999999999997</v>
      </c>
      <c r="I13" s="1514">
        <f>面积!B2</f>
        <v>37.619999999999997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208</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f>面积!A3</f>
        <v>209</v>
      </c>
      <c r="D14" s="1513"/>
      <c r="E14" s="13">
        <f>IF($C$3="是",ROUND($A$3*G14/$B$3,2),ROUND($A$3*(G14-AT14)/$B$3,2))</f>
        <v>0</v>
      </c>
      <c r="F14" s="29"/>
      <c r="G14" s="30">
        <f>H14+AC14+AT14</f>
        <v>54.55</v>
      </c>
      <c r="H14" s="17">
        <f>SUMIF(I$12:AB$12,"总值",I14:AB14)</f>
        <v>54.55</v>
      </c>
      <c r="I14" s="1514">
        <f>面积!B3</f>
        <v>54.55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209</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f>面积!A4</f>
        <v>210</v>
      </c>
      <c r="D15" s="1513"/>
      <c r="E15" s="13">
        <f>IF($C$3="是",ROUND($A$3*G15/$B$3,2),ROUND($A$3*(G15-AT15)/$B$3,2))</f>
        <v>0</v>
      </c>
      <c r="F15" s="29"/>
      <c r="G15" s="30">
        <f>H15+AC15+AT15</f>
        <v>54.55</v>
      </c>
      <c r="H15" s="17">
        <f>SUMIF(I$12:AB$12,"总值",I15:AB15)</f>
        <v>54.55</v>
      </c>
      <c r="I15" s="1514">
        <f>面积!B4</f>
        <v>54.55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210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628">
        <f>面积!A5</f>
        <v>211</v>
      </c>
      <c r="D16" s="1513"/>
      <c r="E16" s="13">
        <f>IF($C$3="是",ROUND($A$3*G16/$B$3,2),ROUND($A$3*(G16-AT16)/$B$3,2))</f>
        <v>0</v>
      </c>
      <c r="F16" s="29"/>
      <c r="G16" s="30">
        <f>H16+AC16+AT16</f>
        <v>23.32</v>
      </c>
      <c r="H16" s="17">
        <f>SUMIF(I$12:AB$12,"总值",I16:AB16)</f>
        <v>23.32</v>
      </c>
      <c r="I16" s="1514">
        <f>面积!B5</f>
        <v>23.32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211</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628">
        <f>面积!A6</f>
        <v>212</v>
      </c>
      <c r="D17" s="1513"/>
      <c r="E17" s="13">
        <f>IF($C$3="是",ROUND($A$3*G17/$B$3,2),ROUND($A$3*(G17-AT17)/$B$3,2))</f>
        <v>0</v>
      </c>
      <c r="F17" s="29"/>
      <c r="G17" s="30">
        <f>H17+AC17+AT17</f>
        <v>24.42</v>
      </c>
      <c r="H17" s="17">
        <f>SUMIF(I$12:AB$12,"总值",I17:AB17)</f>
        <v>24.42</v>
      </c>
      <c r="I17" s="1514">
        <f>面积!B6</f>
        <v>24.42</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212</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面积!A7</f>
        <v>215</v>
      </c>
      <c r="D18" s="1516"/>
      <c r="E18" s="32">
        <f t="shared" ref="E18:E112" si="7">IF($C$3="是",ROUND($A$3*G18/$B$3,2),ROUND($A$3*(G18-AT18)/$B$3,2))</f>
        <v>0</v>
      </c>
      <c r="F18" s="33"/>
      <c r="G18" s="34">
        <f t="shared" ref="G18:G109" si="8">H18+AC18+AT18</f>
        <v>100.59</v>
      </c>
      <c r="H18" s="35">
        <f t="shared" ref="H18:H109" si="9">SUMIF(I$12:AB$12,"总值",I18:AB18)</f>
        <v>100.59</v>
      </c>
      <c r="I18" s="1514">
        <f>面积!B7</f>
        <v>100.59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215</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面积!A8</f>
        <v>217</v>
      </c>
      <c r="D19" s="1516" t="s">
        <v>3429</v>
      </c>
      <c r="E19" s="32">
        <f t="shared" si="7"/>
        <v>0</v>
      </c>
      <c r="F19" s="33"/>
      <c r="G19" s="34">
        <f t="shared" si="8"/>
        <v>50.74</v>
      </c>
      <c r="H19" s="35">
        <f t="shared" si="9"/>
        <v>50.74</v>
      </c>
      <c r="I19" s="1514">
        <f>面积!B8</f>
        <v>50.74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217</v>
      </c>
      <c r="AY19" s="38">
        <f t="shared" si="14"/>
        <v>0</v>
      </c>
      <c r="AZ19" s="32">
        <f t="shared" si="15"/>
        <v>50.74</v>
      </c>
      <c r="BA19" s="32">
        <f t="shared" si="16"/>
        <v>50.74</v>
      </c>
      <c r="BB19" s="32">
        <f t="shared" si="17"/>
        <v>50.74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6" t="s">
        <v>1131</v>
      </c>
      <c r="B2" s="3256"/>
      <c r="C2" s="3256"/>
      <c r="D2" s="748" t="s">
        <v>1107</v>
      </c>
      <c r="E2" s="1523" t="s">
        <v>1108</v>
      </c>
      <c r="F2" s="2439"/>
      <c r="G2" s="2432"/>
      <c r="H2" s="2433"/>
      <c r="I2" s="2146" t="s">
        <v>1132</v>
      </c>
      <c r="J2" s="2439"/>
      <c r="K2" s="2439"/>
      <c r="L2" s="2439"/>
      <c r="M2" s="2439"/>
      <c r="N2" s="2440"/>
      <c r="O2" s="2439"/>
      <c r="P2" s="2439"/>
    </row>
    <row r="3" spans="1:16" ht="14.5" thickBot="1">
      <c r="A3" s="3257" t="s">
        <v>1105</v>
      </c>
      <c r="B3" s="3257"/>
      <c r="C3" s="3257"/>
      <c r="D3" s="41">
        <f>'数据-基础表'!AY6</f>
        <v>0</v>
      </c>
      <c r="E3" s="41">
        <f>'数据-基础表'!AZ5</f>
        <v>50.74</v>
      </c>
      <c r="F3" s="2439"/>
      <c r="G3" s="42"/>
      <c r="H3" s="43" t="s">
        <v>1106</v>
      </c>
      <c r="I3" s="802" t="e">
        <f>ROUND('数据-基础表'!B3/'数据-基础表'!A3,2)</f>
        <v>#DIV/0!</v>
      </c>
      <c r="J3" s="2439"/>
      <c r="K3" s="2439"/>
      <c r="L3" s="2439"/>
      <c r="M3" s="2439"/>
      <c r="N3" s="2440"/>
      <c r="O3" s="2439"/>
      <c r="P3" s="2439"/>
    </row>
    <row r="4" spans="1:16">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1" t="s">
        <v>1111</v>
      </c>
      <c r="C6" s="3261"/>
      <c r="D6" s="43">
        <f>ROUND($D$3*E6/$E$3,2)</f>
        <v>0</v>
      </c>
      <c r="E6" s="44">
        <f>E3-E5</f>
        <v>50.74</v>
      </c>
      <c r="F6" s="2439"/>
      <c r="G6" s="1529" t="s">
        <v>1112</v>
      </c>
      <c r="H6" s="45" t="s">
        <v>1113</v>
      </c>
      <c r="I6" s="2435" t="e">
        <f>ROUND(F31/D31,2)</f>
        <v>#DIV/0!</v>
      </c>
      <c r="J6" s="2439"/>
      <c r="K6" s="2439"/>
      <c r="L6" s="2439"/>
      <c r="M6" s="2439"/>
      <c r="N6" s="2439"/>
      <c r="O6" s="2439"/>
      <c r="P6" s="2439"/>
    </row>
    <row r="7" spans="1:16" ht="14.5" thickBot="1">
      <c r="A7" s="3253"/>
      <c r="B7" s="3254"/>
      <c r="C7" s="3255"/>
      <c r="D7" s="1524" t="s">
        <v>1107</v>
      </c>
      <c r="E7" s="1528" t="s">
        <v>1114</v>
      </c>
      <c r="F7" s="2439"/>
      <c r="G7" s="2436" t="s">
        <v>1115</v>
      </c>
      <c r="H7" s="95"/>
      <c r="I7" s="2437">
        <v>2.5</v>
      </c>
      <c r="J7" s="3172" t="s">
        <v>3437</v>
      </c>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50.74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50.74</v>
      </c>
      <c r="F16" s="2439"/>
      <c r="G16" s="2439"/>
      <c r="H16" s="1531" t="s">
        <v>1135</v>
      </c>
      <c r="I16" s="1532"/>
      <c r="J16" s="1071"/>
      <c r="K16" s="3250" t="s">
        <v>1135</v>
      </c>
      <c r="L16" s="3251"/>
      <c r="M16" s="3251"/>
      <c r="N16" s="3251"/>
      <c r="O16" s="3251"/>
      <c r="P16" s="3252"/>
    </row>
    <row r="17" spans="1:19">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'数据-基础表'!C19</f>
        <v>217</v>
      </c>
      <c r="D19" s="43">
        <f>ROUND($D$3*E19/$E$3,2)</f>
        <v>0</v>
      </c>
      <c r="E19" s="51">
        <f t="shared" ref="E19:E26" si="1">SUM(F19:G19)</f>
        <v>50.74</v>
      </c>
      <c r="F19" s="2558">
        <f>'数据-基础表'!G19</f>
        <v>50.74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50.74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50.74</v>
      </c>
      <c r="F27" s="1072">
        <f>IF(SUM(F19:F26)=E8,SUM(F19:F26),"地上面积有误")</f>
        <v>50.74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50.74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50.74</v>
      </c>
      <c r="F31" s="644">
        <f>F27+F30</f>
        <v>50.74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1.26953125" style="1561" customWidth="1"/>
    <col min="22" max="22" width="10.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46008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217</v>
      </c>
      <c r="B6" s="1587" t="str">
        <f>IF(A6=0,"","经营性")</f>
        <v>经营性</v>
      </c>
      <c r="C6" s="1588" t="s">
        <v>21</v>
      </c>
      <c r="D6" s="805">
        <f>SUMIF(项目基本情况!C$12:I$12,C6,项目基本情况!C$14:I$14)</f>
        <v>50</v>
      </c>
      <c r="E6" s="804">
        <f>IF(B6="","",SUMIF(项目基本情况!C$12:I$12,C6,项目基本情况!C$13:I$13))</f>
        <v>54405</v>
      </c>
      <c r="F6" s="61">
        <f>SUMIF(项目基本情况!C$12:I$12,C6,项目基本情况!C$15:I$15)</f>
        <v>23</v>
      </c>
      <c r="G6" s="62">
        <f>IF(ISERROR(ROUND(POWER(1+H6,D6-F6)*(POWER(1+H6,F6)-1)/(POWER(1+H6,D6)-1),3)),0,ROUND(POWER(1+H6,D6-F6)*(POWER(1+H6,F6)-1)/(POWER(1+H6,D6)-1),3))</f>
        <v>0.73899999999999999</v>
      </c>
      <c r="H6" s="691">
        <v>0.05</v>
      </c>
      <c r="I6" s="691">
        <v>5.5E-2</v>
      </c>
      <c r="J6" s="63">
        <v>7.0000000000000007E-2</v>
      </c>
      <c r="K6" s="970">
        <f>SUMIF('数据-汇总表'!C$19:C$33,A6,'数据-汇总表'!E$19:E$33)</f>
        <v>50.74</v>
      </c>
      <c r="L6" s="692">
        <v>4500</v>
      </c>
      <c r="M6" s="64">
        <f t="shared" ref="M6:M14" si="0">ROUND(K6*L6/10000,0)</f>
        <v>23</v>
      </c>
      <c r="N6" s="690">
        <f>N21</f>
        <v>0.69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4.5</v>
      </c>
      <c r="V6" s="67">
        <v>0.02</v>
      </c>
      <c r="W6" s="67">
        <v>0.1</v>
      </c>
      <c r="X6" s="979"/>
      <c r="Y6" s="68">
        <f>N6</f>
        <v>0.69</v>
      </c>
      <c r="Z6" s="69"/>
      <c r="AA6" s="63"/>
      <c r="AB6" s="63"/>
      <c r="AC6" s="979"/>
      <c r="AD6" s="70"/>
      <c r="AE6" s="980">
        <f ca="1">IF(AN6="",0,SUMIF(INDIRECT("'"&amp;AN6&amp;"'"&amp;"!E:E"),$AE$5,INDIRECT("'"&amp;AN6&amp;"'"&amp;"!F:F")))</f>
        <v>23</v>
      </c>
      <c r="AF6" s="74"/>
      <c r="AG6" s="130">
        <f>IF(AF6="",0,AE6-AF6)</f>
        <v>0</v>
      </c>
      <c r="AH6" s="71"/>
      <c r="AI6" s="73">
        <v>365</v>
      </c>
      <c r="AJ6" s="74"/>
      <c r="AK6" s="75">
        <v>5.0000000000000001E-3</v>
      </c>
      <c r="AL6" s="76">
        <v>1E-3</v>
      </c>
      <c r="AM6" s="77">
        <v>0.01</v>
      </c>
      <c r="AN6" s="1589" t="s">
        <v>3423</v>
      </c>
      <c r="AO6" s="50">
        <f ca="1">SUMIF(INDIRECT("'"&amp;AN6&amp;"'"&amp;"!A:A"),"总价",INDIRECT("'"&amp;AN6&amp;"'"&amp;"!B:B"))</f>
        <v>106.5484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0.73899999999999999</v>
      </c>
      <c r="H16" s="84">
        <f>ROUND(SUMPRODUCT(H6:H13,K6:K13)/SUMPRODUCT((H6:H13&gt;0)*(K6:K13)),3)</f>
        <v>0.05</v>
      </c>
      <c r="I16" s="85"/>
      <c r="J16" s="85"/>
      <c r="K16" s="86">
        <f>SUM(K6:K15)</f>
        <v>50.74</v>
      </c>
      <c r="L16" s="87">
        <f>ROUND(M16*10000/SUM(K6:K14),0)</f>
        <v>4533</v>
      </c>
      <c r="M16" s="87">
        <f>SUM(M6:M14)</f>
        <v>23</v>
      </c>
      <c r="N16" s="88">
        <f>ROUND(SUMPRODUCT(M6:M14,N6:N14)/M16,3)</f>
        <v>0.69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v>2000</v>
      </c>
      <c r="O18" s="3171" t="s">
        <v>3427</v>
      </c>
      <c r="P18" s="2449"/>
      <c r="Q18" s="3171" t="s">
        <v>3438</v>
      </c>
      <c r="R18" s="3173">
        <f>N18-B20+50</f>
        <v>2048</v>
      </c>
      <c r="S18" s="2449"/>
      <c r="T18" s="3171" t="s">
        <v>3445</v>
      </c>
      <c r="U18" s="3174">
        <v>45077</v>
      </c>
      <c r="V18" s="3174">
        <v>52381</v>
      </c>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2301</v>
      </c>
      <c r="D19" s="2452"/>
      <c r="E19" s="2439"/>
      <c r="F19" s="2439"/>
      <c r="G19" s="2439"/>
      <c r="H19" s="2439"/>
      <c r="I19" s="2439"/>
      <c r="J19" s="2439"/>
      <c r="K19" s="2450"/>
      <c r="L19" s="2450"/>
      <c r="M19" s="2449"/>
      <c r="N19" s="2449">
        <f>ROUND(1-(1-0)*(2025-N18)/60,2)</f>
        <v>0.57999999999999996</v>
      </c>
      <c r="O19" s="2449"/>
      <c r="P19" s="2449"/>
      <c r="Q19" s="2449"/>
      <c r="R19" s="2449"/>
      <c r="S19" s="2449"/>
      <c r="T19" s="3171" t="s">
        <v>3446</v>
      </c>
      <c r="U19" s="2449">
        <v>2300</v>
      </c>
      <c r="V19" s="3175" t="s">
        <v>3448</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2299</v>
      </c>
      <c r="D20" s="2452"/>
      <c r="E20" s="2439"/>
      <c r="F20" s="2439"/>
      <c r="G20" s="2439"/>
      <c r="H20" s="2439"/>
      <c r="I20" s="2439"/>
      <c r="J20" s="2439"/>
      <c r="K20" s="2450"/>
      <c r="L20" s="2450"/>
      <c r="M20" s="2449"/>
      <c r="N20" s="2449">
        <v>0.8</v>
      </c>
      <c r="O20" s="2449"/>
      <c r="P20" s="2449"/>
      <c r="Q20" s="2449"/>
      <c r="R20" s="2449"/>
      <c r="S20" s="2449"/>
      <c r="T20" s="3171" t="s">
        <v>3447</v>
      </c>
      <c r="U20" s="2449">
        <v>4000000</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f>ROUND((N19+N20)/2,2)</f>
        <v>0.69</v>
      </c>
      <c r="O21" s="2449"/>
      <c r="P21" s="2449"/>
      <c r="Q21" s="2449"/>
      <c r="R21" s="2449"/>
      <c r="S21" s="2449"/>
      <c r="T21" s="2449"/>
      <c r="U21" s="2449">
        <f>ROUND(U20/U19/365,2)</f>
        <v>4.76</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2309</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3421</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2" t="s">
        <v>2285</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2280</v>
      </c>
      <c r="D2" s="1595"/>
      <c r="E2" s="2260"/>
      <c r="F2" s="2263"/>
      <c r="G2" s="2262" t="s">
        <v>2281</v>
      </c>
      <c r="H2" s="751"/>
      <c r="I2" s="751"/>
      <c r="J2" s="751"/>
      <c r="K2" s="751"/>
      <c r="L2" s="751"/>
      <c r="M2" s="751"/>
      <c r="N2" s="751"/>
      <c r="O2" s="751"/>
      <c r="P2" s="751"/>
      <c r="Q2" s="751"/>
    </row>
    <row r="3" spans="1:29" ht="52">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9">
      <c r="A4" s="2248"/>
      <c r="B4" s="315" t="s">
        <v>2253</v>
      </c>
      <c r="C4" s="2269" t="s">
        <v>2254</v>
      </c>
      <c r="D4" s="2266"/>
      <c r="E4" s="2270"/>
      <c r="F4" s="1281" t="s">
        <v>2255</v>
      </c>
      <c r="G4" s="2271" t="s">
        <v>2256</v>
      </c>
      <c r="H4" s="751"/>
      <c r="I4" s="751"/>
      <c r="J4" s="751"/>
      <c r="K4" s="751"/>
      <c r="L4" s="751"/>
      <c r="M4" s="751"/>
      <c r="N4" s="751"/>
      <c r="O4" s="751"/>
      <c r="P4" s="751"/>
      <c r="Q4" s="751"/>
    </row>
    <row r="5" spans="1:29" ht="39">
      <c r="A5" s="2248"/>
      <c r="B5" s="315" t="s">
        <v>2257</v>
      </c>
      <c r="C5" s="2269" t="s">
        <v>2258</v>
      </c>
      <c r="D5" s="2266"/>
      <c r="E5" s="2270"/>
      <c r="F5" s="315" t="s">
        <v>2259</v>
      </c>
      <c r="G5" s="2271" t="s">
        <v>2260</v>
      </c>
      <c r="H5" s="751"/>
      <c r="I5" s="751"/>
      <c r="J5" s="751"/>
      <c r="K5" s="751"/>
      <c r="L5" s="751"/>
      <c r="M5" s="751"/>
      <c r="N5" s="751"/>
      <c r="O5" s="751"/>
      <c r="P5" s="751"/>
      <c r="Q5" s="751"/>
    </row>
    <row r="6" spans="1:29" ht="39">
      <c r="A6" s="2248"/>
      <c r="B6" s="315" t="s">
        <v>2261</v>
      </c>
      <c r="C6" s="2271" t="s">
        <v>2256</v>
      </c>
      <c r="D6" s="2266"/>
      <c r="E6" s="2270"/>
      <c r="F6" s="315" t="s">
        <v>2262</v>
      </c>
      <c r="G6" s="2271" t="s">
        <v>2263</v>
      </c>
      <c r="H6" s="751"/>
      <c r="I6" s="751"/>
      <c r="J6" s="751"/>
      <c r="K6" s="751"/>
      <c r="L6" s="751"/>
      <c r="M6" s="751"/>
      <c r="N6" s="751"/>
      <c r="O6" s="751"/>
      <c r="P6" s="751"/>
      <c r="Q6" s="751"/>
    </row>
    <row r="7" spans="1:29" ht="39.5" thickBot="1">
      <c r="A7" s="2248"/>
      <c r="B7" s="315" t="s">
        <v>2259</v>
      </c>
      <c r="C7" s="2271" t="s">
        <v>2260</v>
      </c>
      <c r="D7" s="2245"/>
      <c r="E7" s="2272"/>
      <c r="F7" s="2273" t="s">
        <v>2264</v>
      </c>
      <c r="G7" s="2274" t="s">
        <v>2265</v>
      </c>
      <c r="H7" s="751"/>
      <c r="I7" s="751"/>
      <c r="J7" s="751"/>
      <c r="K7" s="751"/>
      <c r="L7" s="751"/>
      <c r="M7" s="751"/>
      <c r="N7" s="751"/>
      <c r="O7" s="751"/>
      <c r="P7" s="751"/>
      <c r="Q7" s="751"/>
    </row>
    <row r="8" spans="1:29" ht="26">
      <c r="A8" s="2248"/>
      <c r="B8" s="315" t="s">
        <v>2262</v>
      </c>
      <c r="C8" s="2271" t="s">
        <v>2263</v>
      </c>
      <c r="D8" s="2245"/>
      <c r="E8" s="2245"/>
      <c r="F8" s="121"/>
      <c r="G8" s="121"/>
      <c r="H8" s="751"/>
      <c r="I8" s="751"/>
      <c r="J8" s="751"/>
      <c r="K8" s="751"/>
      <c r="L8" s="751"/>
      <c r="M8" s="751"/>
      <c r="N8" s="751"/>
      <c r="O8" s="751"/>
      <c r="P8" s="751"/>
      <c r="Q8" s="751"/>
    </row>
    <row r="9" spans="1:29" ht="26">
      <c r="A9" s="2248"/>
      <c r="B9" s="315" t="s">
        <v>2266</v>
      </c>
      <c r="C9" s="2269" t="s">
        <v>2267</v>
      </c>
      <c r="D9" s="2266"/>
      <c r="E9" s="2245"/>
      <c r="F9" s="121"/>
      <c r="G9" s="121"/>
      <c r="H9" s="751"/>
      <c r="I9" s="751"/>
      <c r="J9" s="751"/>
      <c r="K9" s="751"/>
      <c r="L9" s="751"/>
      <c r="M9" s="751"/>
      <c r="N9" s="751"/>
      <c r="O9" s="751"/>
      <c r="P9" s="751"/>
      <c r="Q9" s="751"/>
    </row>
    <row r="10" spans="1:29" ht="14.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2286</v>
      </c>
      <c r="B13" s="2280"/>
      <c r="C13" s="2280"/>
      <c r="D13" s="2279"/>
      <c r="E13" s="2280"/>
      <c r="F13" s="2280"/>
      <c r="G13" s="2280"/>
    </row>
    <row r="14" spans="1:29" ht="14.5" thickBot="1">
      <c r="A14" s="2285"/>
      <c r="B14" s="2285"/>
      <c r="C14" s="2286" t="s">
        <v>2269</v>
      </c>
      <c r="D14" s="2266"/>
      <c r="E14" s="2287"/>
      <c r="F14" s="2287"/>
      <c r="G14" s="2262" t="s">
        <v>2270</v>
      </c>
    </row>
    <row r="15" spans="1:29" ht="50">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7.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7.5">
      <c r="A17" s="2252"/>
      <c r="B17" s="2291" t="s">
        <v>2257</v>
      </c>
      <c r="C17" s="2292" t="str">
        <f>C5</f>
        <v>估价对象位于XX商圈，周边办公楼项目较多，入驻率高，办公集聚程度较好</v>
      </c>
      <c r="D17" s="2245"/>
      <c r="E17" s="2253"/>
      <c r="F17" s="2293" t="s">
        <v>2274</v>
      </c>
      <c r="G17" s="2295"/>
    </row>
    <row r="18" spans="1:17" ht="37.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
      <c r="A19" s="2252"/>
      <c r="B19" s="2293" t="s">
        <v>2275</v>
      </c>
      <c r="C19" s="2295"/>
      <c r="D19" s="2266"/>
      <c r="E19" s="2253"/>
      <c r="F19" s="315" t="s">
        <v>2259</v>
      </c>
      <c r="G19" s="2294" t="str">
        <f>G5</f>
        <v>估价对象所在区域公共配套设施齐备情况</v>
      </c>
    </row>
    <row r="20" spans="1:17" ht="25">
      <c r="A20" s="2252"/>
      <c r="B20" s="2293" t="s">
        <v>2276</v>
      </c>
      <c r="C20" s="2292" t="str">
        <f>C9</f>
        <v>区域自然环境：；人文环境；综合评价环境状况一般</v>
      </c>
      <c r="D20" s="2245"/>
      <c r="E20" s="2253"/>
      <c r="F20" s="315" t="s">
        <v>2262</v>
      </c>
      <c r="G20" s="2294" t="str">
        <f>G6</f>
        <v>估价对象所在区域基础设施水平</v>
      </c>
    </row>
    <row r="21" spans="1:17" ht="2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345.78999999999996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46008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809</v>
      </c>
      <c r="C5" s="2300">
        <f ca="1">IF(B5=D14,结果表!H102,ROUND(B5*10000/$B$1,0))</f>
        <v>23508</v>
      </c>
      <c r="D5" s="2300" t="e">
        <f ca="1">ROUND(B5*10000/$B$2,0)</f>
        <v>#DIV/0!</v>
      </c>
      <c r="E5" s="2462"/>
      <c r="F5" s="2463"/>
      <c r="G5" s="2463"/>
      <c r="H5" s="2463"/>
      <c r="I5" s="2463"/>
      <c r="J5" s="2463"/>
      <c r="K5" s="2463"/>
    </row>
    <row r="6" spans="1:11" ht="16.5">
      <c r="A6" s="2300" t="s">
        <v>656</v>
      </c>
      <c r="B6" s="2300">
        <f ca="1">SUM(G14:G23)</f>
        <v>809</v>
      </c>
      <c r="C6" s="2300">
        <f ca="1">IF(B6=G14,结果表!H108,ROUND(B6*10000/$B$1,0))</f>
        <v>23508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7"/>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典型户型修正!B22</f>
        <v>345.78999999999996</v>
      </c>
      <c r="C14" s="2306"/>
      <c r="D14" s="2306">
        <f ca="1">典型户型修正!B20</f>
        <v>809</v>
      </c>
      <c r="E14" s="2306">
        <f ca="1">ROUND(D14*10000/B14,0)</f>
        <v>23396</v>
      </c>
      <c r="F14" s="2306" t="e">
        <f ca="1">ROUND(D14*10000/C14,0)</f>
        <v>#DIV/0!</v>
      </c>
      <c r="G14" s="2306">
        <f ca="1">D14</f>
        <v>809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Normal="100" zoomScaleSheetLayoutView="100" zoomScalePageLayoutView="80" workbookViewId="0">
      <selection activeCell="F24" sqref="F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217</v>
      </c>
      <c r="D1" s="646"/>
      <c r="E1" s="646"/>
      <c r="F1" s="1621" t="s">
        <v>1263</v>
      </c>
      <c r="G1" s="1453" t="s">
        <v>3424</v>
      </c>
      <c r="H1" s="1621" t="str">
        <f>IF(G1="现房","——","估价对象范围")</f>
        <v>——</v>
      </c>
      <c r="I1" s="1622"/>
    </row>
    <row r="2" spans="1:12" ht="21.75" customHeight="1" thickBot="1">
      <c r="A2" s="3298" t="str">
        <f>项目基本情况!S2</f>
        <v>北京市房地产</v>
      </c>
      <c r="B2" s="3299"/>
      <c r="C2" s="3299"/>
      <c r="D2" s="3299"/>
      <c r="E2" s="3299"/>
      <c r="F2" s="3299"/>
      <c r="G2" s="3299"/>
      <c r="H2" s="3299"/>
      <c r="I2" s="3300"/>
    </row>
    <row r="3" spans="1:12" ht="13">
      <c r="A3" s="3302" t="s">
        <v>1264</v>
      </c>
      <c r="B3" s="3303"/>
      <c r="C3" s="3303"/>
      <c r="D3" s="3303"/>
      <c r="E3" s="3303"/>
      <c r="F3" s="3303"/>
      <c r="G3" s="3303"/>
      <c r="H3" s="3303"/>
      <c r="I3" s="3303"/>
    </row>
    <row r="4" spans="1:12" ht="14">
      <c r="A4" s="1624" t="s">
        <v>1265</v>
      </c>
      <c r="B4" s="1625" t="s">
        <v>1266</v>
      </c>
      <c r="C4" s="1626" t="s">
        <v>3441</v>
      </c>
      <c r="D4" s="1626" t="s">
        <v>3423</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8" t="s">
        <v>1268</v>
      </c>
      <c r="B5" s="3265">
        <v>25</v>
      </c>
      <c r="C5" s="3281"/>
      <c r="D5" s="3301"/>
      <c r="E5" s="123" t="s">
        <v>1269</v>
      </c>
      <c r="F5" s="1627"/>
      <c r="G5" s="1627"/>
      <c r="H5" s="1627"/>
      <c r="I5" s="1281"/>
    </row>
    <row r="6" spans="1:12" ht="13">
      <c r="A6" s="3278"/>
      <c r="B6" s="3265"/>
      <c r="C6" s="3282"/>
      <c r="D6" s="3301"/>
      <c r="E6" s="123" t="s">
        <v>1270</v>
      </c>
      <c r="F6" s="1627"/>
      <c r="G6" s="1627"/>
      <c r="H6" s="1627"/>
      <c r="I6" s="1281"/>
    </row>
    <row r="7" spans="1:12" ht="13">
      <c r="A7" s="3278"/>
      <c r="B7" s="3265"/>
      <c r="C7" s="3283"/>
      <c r="D7" s="3301"/>
      <c r="E7" s="123" t="s">
        <v>1271</v>
      </c>
      <c r="F7" s="1627"/>
      <c r="G7" s="1627"/>
      <c r="H7" s="1627"/>
      <c r="I7" s="1281"/>
    </row>
    <row r="8" spans="1:12" ht="13">
      <c r="A8" s="3278" t="s">
        <v>1272</v>
      </c>
      <c r="B8" s="3265">
        <v>15</v>
      </c>
      <c r="C8" s="3281"/>
      <c r="D8" s="3301"/>
      <c r="E8" s="123" t="s">
        <v>1273</v>
      </c>
      <c r="F8" s="1627"/>
      <c r="G8" s="1627"/>
      <c r="H8" s="1627"/>
      <c r="I8" s="1281"/>
    </row>
    <row r="9" spans="1:12" ht="13">
      <c r="A9" s="3278"/>
      <c r="B9" s="3265"/>
      <c r="C9" s="3283"/>
      <c r="D9" s="3301"/>
      <c r="E9" s="123" t="s">
        <v>1274</v>
      </c>
      <c r="F9" s="1627"/>
      <c r="G9" s="1627"/>
      <c r="H9" s="1627"/>
      <c r="I9" s="1281"/>
    </row>
    <row r="10" spans="1:12" ht="13">
      <c r="A10" s="3278" t="s">
        <v>1275</v>
      </c>
      <c r="B10" s="3265">
        <v>15</v>
      </c>
      <c r="C10" s="3281"/>
      <c r="D10" s="3301"/>
      <c r="E10" s="123" t="s">
        <v>1276</v>
      </c>
      <c r="F10" s="1627"/>
      <c r="G10" s="1627"/>
      <c r="H10" s="1627"/>
      <c r="I10" s="1281"/>
    </row>
    <row r="11" spans="1:12" ht="13">
      <c r="A11" s="3278"/>
      <c r="B11" s="3265"/>
      <c r="C11" s="3283"/>
      <c r="D11" s="3301"/>
      <c r="E11" s="123" t="s">
        <v>1277</v>
      </c>
      <c r="F11" s="1627"/>
      <c r="G11" s="1627"/>
      <c r="H11" s="1627"/>
      <c r="I11" s="1281"/>
    </row>
    <row r="12" spans="1:12" ht="13">
      <c r="A12" s="3278" t="s">
        <v>1278</v>
      </c>
      <c r="B12" s="3265">
        <v>15</v>
      </c>
      <c r="C12" s="3281"/>
      <c r="D12" s="3301"/>
      <c r="E12" s="123" t="s">
        <v>1279</v>
      </c>
      <c r="F12" s="1627"/>
      <c r="G12" s="1627"/>
      <c r="H12" s="1627"/>
      <c r="I12" s="1281"/>
    </row>
    <row r="13" spans="1:12" ht="13">
      <c r="A13" s="3278"/>
      <c r="B13" s="3265"/>
      <c r="C13" s="3283"/>
      <c r="D13" s="3301"/>
      <c r="E13" s="123" t="s">
        <v>1280</v>
      </c>
      <c r="F13" s="1627"/>
      <c r="G13" s="1627"/>
      <c r="H13" s="1627"/>
      <c r="I13" s="1281"/>
    </row>
    <row r="14" spans="1:12" ht="13">
      <c r="A14" s="3278" t="s">
        <v>1281</v>
      </c>
      <c r="B14" s="3265">
        <v>30</v>
      </c>
      <c r="C14" s="3281">
        <v>5</v>
      </c>
      <c r="D14" s="3301">
        <v>5</v>
      </c>
      <c r="E14" s="123" t="s">
        <v>1282</v>
      </c>
      <c r="F14" s="1627"/>
      <c r="G14" s="1627"/>
      <c r="H14" s="1627"/>
      <c r="I14" s="1281"/>
    </row>
    <row r="15" spans="1:12" ht="13">
      <c r="A15" s="3278"/>
      <c r="B15" s="3265"/>
      <c r="C15" s="3282"/>
      <c r="D15" s="3301"/>
      <c r="E15" s="123" t="s">
        <v>1283</v>
      </c>
      <c r="F15" s="1627"/>
      <c r="G15" s="1627"/>
      <c r="H15" s="1627"/>
      <c r="I15" s="1281"/>
    </row>
    <row r="16" spans="1:12" ht="13">
      <c r="A16" s="3278"/>
      <c r="B16" s="3265"/>
      <c r="C16" s="3283"/>
      <c r="D16" s="3301"/>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8" t="s">
        <v>2130</v>
      </c>
      <c r="F18" s="3289"/>
      <c r="G18" s="3289"/>
      <c r="H18" s="3289"/>
      <c r="I18" s="3289"/>
      <c r="K18" s="294" t="s">
        <v>1289</v>
      </c>
      <c r="L18" s="294">
        <f>IF(C1="",'数据-汇总表'!E3,SUMIF(项目类型,C1,'数据-汇总表'!E17:E26)+SUMIF(项目类型,C1,'数据-汇总表'!I17:I26))</f>
        <v>50.74</v>
      </c>
      <c r="M18" s="294">
        <f>IF(C1="",'数据-汇总表'!E3,SUMIF(项目类型,C1,'数据-汇总表'!E17:E26))</f>
        <v>50.74</v>
      </c>
    </row>
    <row r="19" spans="1:36" ht="14">
      <c r="A19" s="1630" t="s">
        <v>1290</v>
      </c>
      <c r="B19" s="1631" t="s">
        <v>1291</v>
      </c>
      <c r="C19" s="126">
        <f ca="1">SUMIF(INDIRECT("'"&amp;C4&amp;"'"&amp;"!A:A"),结果表!B19,INDIRECT("'"&amp;C4&amp;"'"&amp;"!B:B"))</f>
        <v>132.00479999999999</v>
      </c>
      <c r="D19" s="127">
        <f ca="1">SUMIF(INDIRECT("'"&amp;D4&amp;"'"&amp;"!A:A"),结果表!B19,INDIRECT("'"&amp;D4&amp;"'"&amp;"!B:B"))</f>
        <v>106.5484</v>
      </c>
      <c r="E19" s="1630" t="s">
        <v>1292</v>
      </c>
      <c r="F19" s="1631" t="s">
        <v>1291</v>
      </c>
      <c r="G19" s="128">
        <f ca="1">ROUND(C19*$C$18+D19*$D$18,0)</f>
        <v>119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26016</v>
      </c>
      <c r="D20" s="130">
        <f ca="1">SUMIF(INDIRECT("'"&amp;D4&amp;"'"&amp;"!A:A"),结果表!B20,INDIRECT("'"&amp;D4&amp;"'"&amp;"!B:B"))</f>
        <v>20999</v>
      </c>
      <c r="E20" s="1633"/>
      <c r="F20" s="43" t="s">
        <v>1295</v>
      </c>
      <c r="G20" s="131">
        <f ca="1">ROUND(C20*$C$18+D20*$D$18,0)</f>
        <v>23508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0.23891865105435639</v>
      </c>
      <c r="E22" s="121"/>
      <c r="F22" s="121"/>
      <c r="G22" s="121"/>
      <c r="H22" s="121"/>
      <c r="I22" s="121"/>
    </row>
    <row r="23" spans="1:36" ht="13.5" thickBot="1">
      <c r="A23" s="646"/>
      <c r="B23" s="646"/>
      <c r="C23" s="646"/>
      <c r="D23" s="646"/>
      <c r="E23" s="121"/>
      <c r="F23" s="3513" t="s">
        <v>3454</v>
      </c>
      <c r="G23" s="121"/>
      <c r="H23" s="121"/>
      <c r="I23" s="121"/>
    </row>
    <row r="24" spans="1:36" ht="14">
      <c r="A24" s="3272" t="s">
        <v>1299</v>
      </c>
      <c r="B24" s="1631" t="s">
        <v>1291</v>
      </c>
      <c r="C24" s="128">
        <f>IF(B30=0,0,D30)</f>
        <v>0</v>
      </c>
      <c r="D24" s="1637"/>
      <c r="E24" s="121"/>
      <c r="F24" s="121"/>
      <c r="G24" s="121"/>
      <c r="H24" s="121"/>
      <c r="I24" s="121"/>
    </row>
    <row r="25" spans="1:36" ht="1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2131</v>
      </c>
      <c r="F30" s="121"/>
      <c r="G30" s="121"/>
      <c r="H30" s="121"/>
      <c r="I30" s="121"/>
    </row>
    <row r="31" spans="1:36" s="2133" customFormat="1" ht="26.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23508</v>
      </c>
      <c r="D32" s="1641" t="s">
        <v>3449</v>
      </c>
      <c r="E32" s="121"/>
      <c r="F32" s="121"/>
      <c r="G32" s="121"/>
      <c r="H32" s="121"/>
      <c r="I32" s="121"/>
    </row>
    <row r="33" spans="1:15" ht="14">
      <c r="A33" s="740" t="s">
        <v>1306</v>
      </c>
      <c r="B33" s="123"/>
      <c r="C33" s="1642" t="s">
        <v>3450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2" t="s">
        <v>1312</v>
      </c>
      <c r="B36" s="1652" t="s">
        <v>1313</v>
      </c>
      <c r="C36" s="137"/>
      <c r="D36" s="1653"/>
      <c r="E36" s="1567"/>
      <c r="F36" s="1654"/>
      <c r="G36" s="121"/>
      <c r="H36" s="121"/>
      <c r="I36" s="121"/>
    </row>
    <row r="37" spans="1:15" ht="14.5" thickBot="1">
      <c r="A37" s="3293"/>
      <c r="B37" s="1555" t="s">
        <v>1314</v>
      </c>
      <c r="C37" s="139"/>
      <c r="D37" s="1071"/>
      <c r="E37" s="1071"/>
      <c r="F37" s="1654"/>
      <c r="G37" s="121"/>
      <c r="H37" s="121"/>
      <c r="I37" s="121"/>
    </row>
    <row r="38" spans="1:15" ht="14.5" thickBot="1">
      <c r="A38" s="3294"/>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119</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10">
        <v>1</v>
      </c>
      <c r="K46" s="3328" t="s">
        <v>1331</v>
      </c>
      <c r="L46" s="3328"/>
      <c r="M46" s="3348"/>
      <c r="N46" s="3348"/>
      <c r="O46" s="3348"/>
    </row>
    <row r="47" spans="1:15" ht="12" customHeight="1">
      <c r="A47" s="152" t="s">
        <v>1332</v>
      </c>
      <c r="B47" s="153"/>
      <c r="C47" s="154"/>
      <c r="D47" s="1024" t="s">
        <v>1333</v>
      </c>
      <c r="E47" s="294" t="s">
        <v>1334</v>
      </c>
      <c r="F47" s="155" t="s">
        <v>1335</v>
      </c>
      <c r="G47" s="2333" t="s">
        <v>1336</v>
      </c>
      <c r="H47" s="2334"/>
      <c r="I47" s="151"/>
      <c r="J47" s="2310">
        <v>2</v>
      </c>
      <c r="K47" s="3328" t="s">
        <v>1337</v>
      </c>
      <c r="L47" s="3328"/>
      <c r="M47" s="3349">
        <f>'数据-取费表'!B2</f>
        <v>46008</v>
      </c>
      <c r="N47" s="3349"/>
      <c r="O47" s="3349"/>
    </row>
    <row r="48" spans="1:15" ht="26">
      <c r="A48" s="3297" t="s">
        <v>1338</v>
      </c>
      <c r="B48" s="3280"/>
      <c r="C48" s="328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8" t="s">
        <v>1340</v>
      </c>
      <c r="L48" s="3328"/>
      <c r="M48" s="3350">
        <f ca="1">H101</f>
        <v>119</v>
      </c>
      <c r="N48" s="3350"/>
      <c r="O48" s="3350"/>
    </row>
    <row r="49" spans="1:35" ht="25.5" customHeight="1">
      <c r="A49" s="2152" t="s">
        <v>1341</v>
      </c>
      <c r="B49" s="3264" t="s">
        <v>1342</v>
      </c>
      <c r="C49" s="3264"/>
      <c r="D49" s="1478">
        <v>0</v>
      </c>
      <c r="E49" s="316" t="s">
        <v>1343</v>
      </c>
      <c r="F49" s="2233" t="s">
        <v>28</v>
      </c>
      <c r="G49" s="3334"/>
      <c r="H49" s="2134" t="s">
        <v>2133</v>
      </c>
      <c r="I49" s="2135"/>
      <c r="J49" s="2310">
        <v>4</v>
      </c>
      <c r="K49" s="3328" t="str">
        <f>IF(项目基本情况!E8="房地产抵押价值","房地产抵押价值","抵押担保权已注销时的房地产抵押价值")</f>
        <v>房地产抵押价值</v>
      </c>
      <c r="L49" s="3328"/>
      <c r="M49" s="3350">
        <f ca="1">IF(项目基本情况!E8="房地产抵押价值",H107,H109)</f>
        <v>119</v>
      </c>
      <c r="N49" s="3350"/>
      <c r="O49" s="3350"/>
    </row>
    <row r="50" spans="1:35" ht="25.5" customHeight="1">
      <c r="A50" s="2338"/>
      <c r="B50" s="3264" t="s">
        <v>1344</v>
      </c>
      <c r="C50" s="3264"/>
      <c r="D50" s="2189"/>
      <c r="E50" s="323"/>
      <c r="F50" s="2233"/>
      <c r="G50" s="3335"/>
      <c r="H50" s="2136" t="s">
        <v>2134</v>
      </c>
      <c r="I50" s="2135"/>
      <c r="J50" s="3347" t="s">
        <v>1345</v>
      </c>
      <c r="K50" s="3347"/>
      <c r="L50" s="3347"/>
      <c r="M50" s="3347"/>
      <c r="N50" s="3347"/>
      <c r="O50" s="3347"/>
    </row>
    <row r="51" spans="1:35" ht="20.5" customHeight="1">
      <c r="A51" s="2339"/>
      <c r="B51" s="3264" t="s">
        <v>1346</v>
      </c>
      <c r="C51" s="3264"/>
      <c r="D51" s="1024"/>
      <c r="E51" s="319"/>
      <c r="F51" s="2233"/>
      <c r="G51" s="3336"/>
      <c r="H51" s="2136" t="s">
        <v>2135</v>
      </c>
      <c r="I51" s="2135"/>
      <c r="J51" s="2311" t="s">
        <v>1347</v>
      </c>
      <c r="K51" s="3328" t="s">
        <v>1348</v>
      </c>
      <c r="L51" s="3328"/>
      <c r="M51" s="2311" t="s">
        <v>1349</v>
      </c>
      <c r="N51" s="2311" t="s">
        <v>1350</v>
      </c>
      <c r="O51" s="2311" t="s">
        <v>1351</v>
      </c>
    </row>
    <row r="52" spans="1:35" ht="24" customHeight="1">
      <c r="A52" s="2153" t="s">
        <v>1352</v>
      </c>
      <c r="B52" s="3264" t="s">
        <v>1353</v>
      </c>
      <c r="C52" s="3264"/>
      <c r="D52" s="1024">
        <f ca="1">ROUND(D45*'数据-取费表'!B41/(1+'数据-取费表'!C42),0)</f>
        <v>6</v>
      </c>
      <c r="E52" s="1256" t="s">
        <v>1354</v>
      </c>
      <c r="F52" s="2340">
        <f>'数据-取费表'!B41</f>
        <v>5.6000000000000001E-2</v>
      </c>
      <c r="G52" s="2341"/>
      <c r="H52" s="2331"/>
      <c r="I52" s="1669"/>
      <c r="J52" s="2310">
        <v>1</v>
      </c>
      <c r="K52" s="3329" t="s">
        <v>1355</v>
      </c>
      <c r="L52" s="3329"/>
      <c r="M52" s="2312" t="b">
        <f>D48</f>
        <v>0</v>
      </c>
      <c r="N52" s="2310" t="str">
        <f>E48</f>
        <v>销售额×税（费）率</v>
      </c>
      <c r="O52" s="2313">
        <f>F48</f>
        <v>5.6000000000000001E-2</v>
      </c>
    </row>
    <row r="53" spans="1:35" ht="12" customHeight="1">
      <c r="A53" s="2153" t="s">
        <v>1356</v>
      </c>
      <c r="B53" s="3290" t="s">
        <v>2290</v>
      </c>
      <c r="C53" s="3291"/>
      <c r="D53" s="1024">
        <f ca="1">ROUND(D45*'数据-取费表'!B41/(1+'数据-取费表'!C42),0)</f>
        <v>6</v>
      </c>
      <c r="E53" s="1256" t="s">
        <v>1354</v>
      </c>
      <c r="F53" s="2340">
        <f>'数据-取费表'!B41</f>
        <v>5.6000000000000001E-2</v>
      </c>
      <c r="G53" s="2341"/>
      <c r="H53" s="2331"/>
      <c r="I53" s="1669"/>
      <c r="J53" s="2310">
        <v>2</v>
      </c>
      <c r="K53" s="3329" t="s">
        <v>1357</v>
      </c>
      <c r="L53" s="3329"/>
      <c r="M53" s="2312">
        <f t="shared" ref="M53:O54" ca="1" si="0">D55</f>
        <v>0</v>
      </c>
      <c r="N53" s="2310" t="str">
        <f t="shared" si="0"/>
        <v>销售额×税（费）率</v>
      </c>
      <c r="O53" s="2313" t="str">
        <f t="shared" si="0"/>
        <v>免征</v>
      </c>
    </row>
    <row r="54" spans="1:35" ht="12" customHeight="1">
      <c r="A54" s="2153" t="s">
        <v>1358</v>
      </c>
      <c r="B54" s="3290" t="s">
        <v>2291</v>
      </c>
      <c r="C54" s="3291"/>
      <c r="D54" s="1024">
        <f ca="1">C68</f>
        <v>6</v>
      </c>
      <c r="E54" s="319" t="s">
        <v>1359</v>
      </c>
      <c r="F54" s="2340">
        <f>'数据-取费表'!B41</f>
        <v>5.6000000000000001E-2</v>
      </c>
      <c r="G54" s="2341"/>
      <c r="H54" s="2342"/>
      <c r="I54" s="1669"/>
      <c r="J54" s="2310">
        <v>3</v>
      </c>
      <c r="K54" s="3329" t="s">
        <v>1360</v>
      </c>
      <c r="L54" s="3329"/>
      <c r="M54" s="2312">
        <f t="shared" ca="1" si="0"/>
        <v>67</v>
      </c>
      <c r="N54" s="2310" t="str">
        <f t="shared" si="0"/>
        <v>增值额×税（费）率</v>
      </c>
      <c r="O54" s="2314" t="str">
        <f t="shared" si="0"/>
        <v>免征</v>
      </c>
    </row>
    <row r="55" spans="1:35" ht="24" customHeight="1">
      <c r="A55" s="3279" t="s">
        <v>1361</v>
      </c>
      <c r="B55" s="3280"/>
      <c r="C55" s="3280"/>
      <c r="D55" s="12">
        <f ca="1">IF(H55="个人住宅",0,ROUND(D45*I55,0))</f>
        <v>0</v>
      </c>
      <c r="E55" s="1256" t="s">
        <v>1362</v>
      </c>
      <c r="F55" s="2340" t="str">
        <f>IF(H55="正常",I55,"免征")</f>
        <v>免征</v>
      </c>
      <c r="G55" s="2341"/>
      <c r="H55" s="2337"/>
      <c r="I55" s="157">
        <f>'数据-取费表'!B49</f>
        <v>5.0000000000000001E-4</v>
      </c>
      <c r="J55" s="2310">
        <f>IF(H59="非个人房产","",4)</f>
        <v>4</v>
      </c>
      <c r="K55" s="3329" t="str">
        <f>IF(H59="非个人房产","——","个人所得税")</f>
        <v>个人所得税</v>
      </c>
      <c r="L55" s="3329"/>
      <c r="M55" s="2315">
        <f ca="1">D59</f>
        <v>1</v>
      </c>
      <c r="N55" s="1883" t="str">
        <f>E59</f>
        <v>差额计税</v>
      </c>
      <c r="O55" s="2316">
        <f>F59</f>
        <v>0.01</v>
      </c>
    </row>
    <row r="56" spans="1:35" ht="26">
      <c r="A56" s="3279" t="s">
        <v>1363</v>
      </c>
      <c r="B56" s="3280"/>
      <c r="C56" s="3280"/>
      <c r="D56" s="12">
        <f ca="1">IF(H56="个人住宅",D57,D58)</f>
        <v>67</v>
      </c>
      <c r="E56" s="1256" t="s">
        <v>1364</v>
      </c>
      <c r="F56" s="2340" t="str">
        <f>IF(H56="正常",F58,"免征")</f>
        <v>免征</v>
      </c>
      <c r="G56" s="2343" t="s">
        <v>1365</v>
      </c>
      <c r="H56" s="2344"/>
      <c r="I56" s="1670"/>
      <c r="J56" s="2310" t="str">
        <f>IF(项目基本情况!K6="上海银行",IF(J55="",4,J55+1),"")</f>
        <v/>
      </c>
      <c r="K56" s="3352" t="str">
        <f>IF(项目基本情况!K6="上海银行","其他处置费用","")</f>
        <v/>
      </c>
      <c r="L56" s="3353"/>
      <c r="M56" s="2312" t="str">
        <f>IF(项目基本情况!K6="上海银行",M69,"")</f>
        <v/>
      </c>
      <c r="N56" s="3352" t="str">
        <f>IF(项目基本情况!K6="上海银行","包含处置中涉及的律师、诉讼、拍卖、评估等费用","")</f>
        <v/>
      </c>
      <c r="O56" s="3355"/>
    </row>
    <row r="57" spans="1:35" ht="13">
      <c r="A57" s="2153" t="s">
        <v>1341</v>
      </c>
      <c r="B57" s="3290" t="s">
        <v>1366</v>
      </c>
      <c r="C57" s="3291"/>
      <c r="D57" s="1478">
        <v>0</v>
      </c>
      <c r="E57" s="316" t="s">
        <v>1343</v>
      </c>
      <c r="F57" s="294"/>
      <c r="G57" s="2341"/>
      <c r="H57" s="2345"/>
      <c r="I57" s="1670"/>
      <c r="J57" s="3329">
        <f>IF(AND(J55="",J56=""),4,IF(项目基本情况!K6="上海银行",结果表!J56+1,结果表!J55+1))</f>
        <v>5</v>
      </c>
      <c r="K57" s="3329" t="s">
        <v>1367</v>
      </c>
      <c r="L57" s="2317" t="s">
        <v>1368</v>
      </c>
      <c r="M57" s="2318"/>
      <c r="N57" s="2319">
        <f ca="1">SUMIF(M52:M56,"&lt;9e307")</f>
        <v>68</v>
      </c>
      <c r="O57" s="2320"/>
      <c r="P57" s="2465">
        <f ca="1">N57/M49</f>
        <v>0.5714285714285714</v>
      </c>
    </row>
    <row r="58" spans="1:35" ht="26">
      <c r="A58" s="2153" t="s">
        <v>1352</v>
      </c>
      <c r="B58" s="3290" t="s">
        <v>1369</v>
      </c>
      <c r="C58" s="3264"/>
      <c r="D58" s="12">
        <f ca="1">IF(H58="转让取得",C81,C97)</f>
        <v>67</v>
      </c>
      <c r="E58" s="1256" t="s">
        <v>1364</v>
      </c>
      <c r="F58" s="294" t="s">
        <v>28</v>
      </c>
      <c r="G58" s="2341"/>
      <c r="H58" s="2344"/>
      <c r="I58" s="1670"/>
      <c r="J58" s="3329"/>
      <c r="K58" s="3329"/>
      <c r="L58" s="2317" t="s">
        <v>1370</v>
      </c>
      <c r="M58" s="2321"/>
      <c r="N58" s="2322" t="str">
        <f ca="1">NUMBERSTRING(INT(N57*10000),2)&amp;"元整"</f>
        <v>陆拾捌万元整</v>
      </c>
      <c r="O58" s="2323"/>
    </row>
    <row r="59" spans="1:35" ht="26.5" thickBot="1">
      <c r="A59" s="3332" t="s">
        <v>1371</v>
      </c>
      <c r="B59" s="3333"/>
      <c r="C59" s="3333"/>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30">
        <f>J57+1</f>
        <v>6</v>
      </c>
      <c r="K59" s="3329" t="s">
        <v>1372</v>
      </c>
      <c r="L59" s="2310" t="s">
        <v>1368</v>
      </c>
      <c r="M59" s="2324"/>
      <c r="N59" s="2325">
        <f ca="1">M49-N57</f>
        <v>51</v>
      </c>
      <c r="O59" s="2326"/>
    </row>
    <row r="60" spans="1:35" ht="12" customHeight="1">
      <c r="A60" s="1671"/>
      <c r="B60" s="646"/>
      <c r="C60" s="646"/>
      <c r="D60" s="646"/>
      <c r="E60" s="1466"/>
      <c r="F60" s="1670"/>
      <c r="G60" s="1670"/>
      <c r="H60" s="151"/>
      <c r="I60" s="121"/>
      <c r="J60" s="3331"/>
      <c r="K60" s="3329"/>
      <c r="L60" s="2317" t="s">
        <v>1370</v>
      </c>
      <c r="M60" s="2321"/>
      <c r="N60" s="2322" t="str">
        <f ca="1">NUMBERSTRING(INT(N59*10000),2)&amp;"元整"</f>
        <v>伍拾壹万元整</v>
      </c>
      <c r="O60" s="2323"/>
    </row>
    <row r="61" spans="1:35" ht="13.5" thickBot="1">
      <c r="A61" s="3277" t="s">
        <v>1373</v>
      </c>
      <c r="B61" s="3277"/>
      <c r="C61" s="3277"/>
      <c r="D61" s="3277"/>
      <c r="E61" s="3277"/>
      <c r="F61" s="1670"/>
      <c r="G61" s="1670"/>
      <c r="H61" s="151"/>
      <c r="I61" s="121"/>
      <c r="J61" s="2310">
        <f>J59+1</f>
        <v>7</v>
      </c>
      <c r="K61" s="3329" t="s">
        <v>1374</v>
      </c>
      <c r="L61" s="3329"/>
      <c r="M61" s="2327"/>
      <c r="N61" s="2328">
        <f ca="1">ROUND(N59*10000/'数据-汇总表'!E3,0)</f>
        <v>10051</v>
      </c>
      <c r="O61" s="2329"/>
    </row>
    <row r="62" spans="1:35" ht="13">
      <c r="A62" s="3295" t="s">
        <v>1375</v>
      </c>
      <c r="B62" s="3296"/>
      <c r="C62" s="1865"/>
      <c r="D62" s="1865" t="s">
        <v>1376</v>
      </c>
      <c r="E62" s="158" t="s">
        <v>1377</v>
      </c>
      <c r="F62" s="1670"/>
      <c r="G62" s="1670"/>
      <c r="H62" s="151"/>
      <c r="I62" s="121"/>
    </row>
    <row r="63" spans="1:35" ht="13">
      <c r="A63" s="165" t="s">
        <v>330</v>
      </c>
      <c r="B63" s="159" t="s">
        <v>1378</v>
      </c>
      <c r="C63" s="2350">
        <f ca="1">ROUND((C64+C65)/(1+'数据-取费表'!C42),0)</f>
        <v>113</v>
      </c>
      <c r="D63" s="159"/>
      <c r="E63" s="160"/>
      <c r="F63" s="1670"/>
      <c r="G63" s="1670"/>
      <c r="H63" s="151"/>
      <c r="I63" s="121"/>
      <c r="J63" s="3354" t="s">
        <v>1379</v>
      </c>
      <c r="K63" s="1245" t="s">
        <v>1380</v>
      </c>
      <c r="L63" s="1245">
        <f ca="1">IF(M49&gt;10000,M49*0.5%,IF(AND(M49&gt;1000,M49&lt;=10000),M49*1%,IF(AND(M49&gt;100,M49&lt;=1000),M49*3%,IF(AND(M49&gt;10,M49&lt;=100),M49*5%,M49*8%))))</f>
        <v>3.57</v>
      </c>
      <c r="M63" s="294">
        <f ca="1">ROUND(L63,1)</f>
        <v>3.6</v>
      </c>
      <c r="N63" s="2330"/>
      <c r="Z63" s="1623"/>
      <c r="AI63" s="1561"/>
    </row>
    <row r="64" spans="1:35" ht="14.25" customHeight="1">
      <c r="A64" s="161" t="s">
        <v>325</v>
      </c>
      <c r="B64" s="162" t="s">
        <v>1381</v>
      </c>
      <c r="C64" s="2351">
        <f ca="1">D45</f>
        <v>119</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1.0710000000000002</v>
      </c>
      <c r="M64" s="294">
        <f t="shared" ref="M64:M65" ca="1" si="1">ROUND(L64,1)</f>
        <v>1.1000000000000001</v>
      </c>
      <c r="N64" s="2331" t="s">
        <v>1383</v>
      </c>
      <c r="Z64" s="1623"/>
      <c r="AI64" s="1561"/>
    </row>
    <row r="65" spans="1:35" ht="14.25" customHeight="1">
      <c r="A65" s="161" t="s">
        <v>326</v>
      </c>
      <c r="B65" s="162" t="s">
        <v>1384</v>
      </c>
      <c r="C65" s="2352"/>
      <c r="D65" s="162"/>
      <c r="E65" s="164"/>
      <c r="F65" s="1670"/>
      <c r="G65" s="1670"/>
      <c r="H65" s="151"/>
      <c r="I65" s="121"/>
      <c r="J65" s="3354"/>
      <c r="K65" s="1245" t="s">
        <v>1385</v>
      </c>
      <c r="L65" s="1245">
        <f ca="1">IF(M49&gt;1000,M49*0.1%,IF(AND(M49&gt;500,M49&lt;=1000),M49*0.5%,IF(AND(M49&gt;50,M49&lt;=500),M49*1%,IF(AND(M49&gt;1,M49&lt;=50),M49*1.5%))))</f>
        <v>1.19</v>
      </c>
      <c r="M65" s="294">
        <f t="shared" ca="1" si="1"/>
        <v>1.2</v>
      </c>
      <c r="N65" s="2331" t="s">
        <v>1383</v>
      </c>
      <c r="Z65" s="1623"/>
      <c r="AI65" s="1561"/>
    </row>
    <row r="66" spans="1:35" ht="14.25" customHeight="1">
      <c r="A66" s="165" t="s">
        <v>327</v>
      </c>
      <c r="B66" s="166" t="s">
        <v>1386</v>
      </c>
      <c r="C66" s="2353"/>
      <c r="D66" s="166" t="s">
        <v>26</v>
      </c>
      <c r="E66" s="1251" t="s">
        <v>671</v>
      </c>
      <c r="F66" s="1670"/>
      <c r="G66" s="1670"/>
      <c r="H66" s="151"/>
      <c r="I66" s="121"/>
      <c r="J66" s="3354"/>
      <c r="K66" s="1245" t="s">
        <v>1387</v>
      </c>
      <c r="L66" s="1245">
        <f ca="1">M49*0.5%</f>
        <v>0.59499999999999997</v>
      </c>
      <c r="M66" s="294">
        <f ca="1">IF(L66&gt;0.5,0.5,ROUND(L66,0))</f>
        <v>0.5</v>
      </c>
      <c r="N66" s="2331" t="s">
        <v>1388</v>
      </c>
      <c r="Z66" s="1623"/>
      <c r="AI66" s="1561"/>
    </row>
    <row r="67" spans="1:35" ht="14.25" customHeight="1">
      <c r="A67" s="165" t="s">
        <v>328</v>
      </c>
      <c r="B67" s="166" t="s">
        <v>1389</v>
      </c>
      <c r="C67" s="2354">
        <f ca="1">C63-C66</f>
        <v>113</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0.54749999999999999</v>
      </c>
      <c r="M67" s="294">
        <f ca="1">ROUND(L67*0.9,1)</f>
        <v>0.5</v>
      </c>
      <c r="N67" s="2330"/>
      <c r="Z67" s="1623"/>
      <c r="AI67" s="1561"/>
    </row>
    <row r="68" spans="1:35" ht="14.25" customHeight="1" thickBot="1">
      <c r="A68" s="168" t="s">
        <v>329</v>
      </c>
      <c r="B68" s="169" t="s">
        <v>1391</v>
      </c>
      <c r="C68" s="2355">
        <f ca="1">IF(C67&lt;=0,0,ROUND(C67*D68,0))</f>
        <v>6</v>
      </c>
      <c r="D68" s="2356">
        <f>'数据-取费表'!B41</f>
        <v>5.6000000000000001E-2</v>
      </c>
      <c r="E68" s="170"/>
      <c r="F68" s="1670"/>
      <c r="G68" s="1670"/>
      <c r="H68" s="151"/>
      <c r="I68" s="121"/>
      <c r="J68" s="3354"/>
      <c r="K68" s="1245" t="s">
        <v>1392</v>
      </c>
      <c r="L68" s="1245">
        <f ca="1">IF(M49&gt;10000,M49*0.5%,IF(AND(M49&gt;5000,M49&lt;=10000),M49*1%,IF(AND(M49&gt;1000,M49&lt;=5000),M49*2%,IF(AND(M49&gt;200,M49&lt;=1000),M49*3%,M49*5%))))</f>
        <v>5.95</v>
      </c>
      <c r="M68" s="294">
        <f ca="1">ROUND(L68,1)</f>
        <v>6</v>
      </c>
      <c r="N68" s="2330"/>
      <c r="Z68" s="1623"/>
      <c r="AI68" s="1561"/>
    </row>
    <row r="69" spans="1:35" ht="16.5" customHeight="1">
      <c r="A69" s="1672"/>
      <c r="B69" s="1673"/>
      <c r="C69" s="1674"/>
      <c r="D69" s="1675"/>
      <c r="E69" s="1676"/>
      <c r="F69" s="1466"/>
      <c r="G69" s="1466"/>
      <c r="H69" s="1467"/>
      <c r="I69" s="646"/>
      <c r="J69" s="3354"/>
      <c r="K69" s="1245" t="s">
        <v>1393</v>
      </c>
      <c r="L69" s="1245"/>
      <c r="M69" s="294">
        <f ca="1">ROUND(SUM(M63:M68),0)</f>
        <v>13</v>
      </c>
      <c r="N69" s="2332">
        <f ca="1">M69/M49</f>
        <v>0.1092436974789916</v>
      </c>
      <c r="Z69" s="1623"/>
      <c r="AI69" s="1561"/>
    </row>
    <row r="70" spans="1:35" s="642" customFormat="1" ht="14.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67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6" t="s">
        <v>2128</v>
      </c>
      <c r="H90" s="3357"/>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4" t="s">
        <v>1422</v>
      </c>
      <c r="F92" s="3275"/>
      <c r="G92" s="3275"/>
      <c r="H92" s="3284"/>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67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1" t="str">
        <f>C4</f>
        <v>成本法 (元)</v>
      </c>
      <c r="D101" s="2372" t="str">
        <f>D4</f>
        <v>收益法 (元)</v>
      </c>
      <c r="E101" s="3351" t="s">
        <v>1431</v>
      </c>
      <c r="F101" s="3308"/>
      <c r="G101" s="1687" t="s">
        <v>1432</v>
      </c>
      <c r="H101" s="2381">
        <f ca="1">H118</f>
        <v>119</v>
      </c>
      <c r="I101" s="121"/>
    </row>
    <row r="102" spans="1:35" ht="18.75" customHeight="1">
      <c r="A102" s="3310" t="s">
        <v>1433</v>
      </c>
      <c r="B102" s="2370" t="s">
        <v>1432</v>
      </c>
      <c r="C102" s="2371">
        <f ca="1">IF(D32="楼面单价",ROUND(C19,0),C19)</f>
        <v>132</v>
      </c>
      <c r="D102" s="2372">
        <f ca="1">IF(D32="楼面单价",ROUND(D19,0),D19)</f>
        <v>107</v>
      </c>
      <c r="E102" s="3351"/>
      <c r="F102" s="3308"/>
      <c r="G102" s="1687" t="s">
        <v>1434</v>
      </c>
      <c r="H102" s="2341">
        <f ca="1">I118</f>
        <v>23508</v>
      </c>
      <c r="I102" s="121"/>
    </row>
    <row r="103" spans="1:35" ht="42.75" customHeight="1">
      <c r="A103" s="3310"/>
      <c r="B103" s="2370" t="s">
        <v>1434</v>
      </c>
      <c r="C103" s="2373">
        <f ca="1">C20</f>
        <v>26016</v>
      </c>
      <c r="D103" s="2374">
        <f ca="1">D20</f>
        <v>20999</v>
      </c>
      <c r="E103" s="3345" t="s">
        <v>1435</v>
      </c>
      <c r="F103" s="3346"/>
      <c r="G103" s="1688" t="s">
        <v>1436</v>
      </c>
      <c r="H103" s="2381">
        <f>IF(D36="正常操作",H104+H105+H106,H105+H106)</f>
        <v>0</v>
      </c>
      <c r="I103" s="121"/>
    </row>
    <row r="104" spans="1:35" ht="18.75" customHeight="1">
      <c r="A104" s="3310" t="s">
        <v>1437</v>
      </c>
      <c r="B104" s="2375" t="s">
        <v>1432</v>
      </c>
      <c r="C104" s="2376">
        <f ca="1">H118</f>
        <v>119</v>
      </c>
      <c r="D104" s="2377"/>
      <c r="E104" s="1555" t="s">
        <v>1438</v>
      </c>
      <c r="F104" s="1548"/>
      <c r="G104" s="1688" t="s">
        <v>1436</v>
      </c>
      <c r="H104" s="2382">
        <f>IF(D36="同一抵押权人同一抵押物续贷",C36&amp;"（续贷，未扣减，详见特别提示）",C36)</f>
        <v>0</v>
      </c>
      <c r="I104" s="121"/>
    </row>
    <row r="105" spans="1:35" ht="18.75" customHeight="1" thickBot="1">
      <c r="A105" s="3311"/>
      <c r="B105" s="2378" t="s">
        <v>1434</v>
      </c>
      <c r="C105" s="2379">
        <f ca="1">I118</f>
        <v>23508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308"/>
      <c r="G107" s="1687" t="s">
        <v>1432</v>
      </c>
      <c r="H107" s="2381">
        <f ca="1">IF(E107="——","——",H101-H103)</f>
        <v>119</v>
      </c>
      <c r="I107" s="121"/>
    </row>
    <row r="108" spans="1:35" ht="18.75" customHeight="1">
      <c r="A108" s="121"/>
      <c r="B108" s="121"/>
      <c r="C108" s="121"/>
      <c r="D108" s="121"/>
      <c r="E108" s="3307"/>
      <c r="F108" s="3308"/>
      <c r="G108" s="1687" t="s">
        <v>1434</v>
      </c>
      <c r="H108" s="2341">
        <f ca="1">IF(H107=H101,H102,ROUND(H107*10000/'数据-汇总表'!E3,0))</f>
        <v>23508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4" t="str">
        <f>IF(E109="——","——",H101-H105-H106)</f>
        <v>——</v>
      </c>
      <c r="I109" s="121"/>
    </row>
    <row r="110" spans="1:35" ht="18.75" customHeight="1">
      <c r="A110" s="121"/>
      <c r="B110" s="121"/>
      <c r="C110" s="121"/>
      <c r="D110" s="121"/>
      <c r="E110" s="3307"/>
      <c r="F110" s="3308"/>
      <c r="G110" s="1687" t="s">
        <v>1434</v>
      </c>
      <c r="H110" s="2341"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1" t="str">
        <f>IF(E111="——","——",N59)</f>
        <v>——</v>
      </c>
      <c r="I111" s="121"/>
    </row>
    <row r="112" spans="1:35" ht="18.75" customHeight="1" thickBot="1">
      <c r="A112" s="121"/>
      <c r="B112" s="121"/>
      <c r="C112" s="121"/>
      <c r="D112" s="121"/>
      <c r="E112" s="3340"/>
      <c r="F112" s="3341"/>
      <c r="G112" s="1690" t="s">
        <v>1434</v>
      </c>
      <c r="H112" s="2385"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50.74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119</v>
      </c>
      <c r="I118" s="2150">
        <f ca="1">ROUND(IF(D32="楼面单价",C32,H118*10000/B118),0)</f>
        <v>23508</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壹佰壹拾玖万元整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119</v>
      </c>
      <c r="E122" s="3343"/>
      <c r="F122" s="3343"/>
      <c r="G122" s="3343"/>
      <c r="H122" s="3343"/>
      <c r="I122" s="3344"/>
      <c r="AA122" s="684"/>
    </row>
    <row r="123" spans="1:27" ht="18.75" customHeight="1">
      <c r="A123" s="3278" t="s">
        <v>1452</v>
      </c>
      <c r="B123" s="3278"/>
      <c r="C123" s="3278"/>
      <c r="D123" s="3318" t="str">
        <f ca="1">NUMBERSTRING(INT(D122*10000),2)&amp;"元整"</f>
        <v>壹佰壹拾玖万元整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4730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50.74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50.74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50.74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v>
      </c>
      <c r="D49" s="224"/>
      <c r="E49" s="224"/>
      <c r="F49" s="256"/>
      <c r="G49" s="226" t="s">
        <v>1554</v>
      </c>
    </row>
    <row r="50" spans="1:7" s="250" customFormat="1" ht="26">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24</v>
      </c>
      <c r="D52" s="258"/>
      <c r="E52" s="258"/>
      <c r="F52" s="258"/>
      <c r="G52" s="260"/>
    </row>
    <row r="55" spans="1:7" ht="15.5">
      <c r="B55" s="262" t="s">
        <v>1562</v>
      </c>
      <c r="C55" s="263"/>
    </row>
    <row r="56" spans="1:7" ht="13">
      <c r="B56" s="265" t="s">
        <v>802</v>
      </c>
      <c r="C56" s="267">
        <f ca="1">1-C57</f>
        <v>4.2000000000000037E-2</v>
      </c>
    </row>
    <row r="57" spans="1:7" ht="13">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217</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132.00479999999999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26016</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813912</v>
      </c>
      <c r="D5" s="203" t="s">
        <v>1469</v>
      </c>
      <c r="E5" s="204" t="s">
        <v>1470</v>
      </c>
      <c r="F5" s="204" t="s">
        <v>1471</v>
      </c>
      <c r="G5" s="205"/>
    </row>
    <row r="6" spans="1:8" s="206" customFormat="1" ht="13.5" customHeight="1">
      <c r="A6" s="732" t="s">
        <v>1472</v>
      </c>
      <c r="B6" s="207" t="s">
        <v>1473</v>
      </c>
      <c r="C6" s="208">
        <f>ROUND(基准地价修正!C33*基准地价修正!D33,0)</f>
        <v>779975</v>
      </c>
      <c r="D6" s="209"/>
      <c r="E6" s="210"/>
      <c r="F6" s="210"/>
      <c r="G6" s="211"/>
    </row>
    <row r="7" spans="1:8" s="206" customFormat="1" ht="13.5" customHeight="1">
      <c r="A7" s="732" t="s">
        <v>1474</v>
      </c>
      <c r="B7" s="207" t="s">
        <v>1475</v>
      </c>
      <c r="C7" s="212">
        <f>ROUND(C6*F7,0)</f>
        <v>23789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10148</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10148</v>
      </c>
      <c r="D10" s="795">
        <f ca="1">IF(B1="",'数据-汇总表'!E6,IF(INDIRECT("'数据-取费表'!c"&amp;$G$1)="住宅",INDIRECT("'数据-取费表'!s"&amp;$G$1),INDIRECT("'数据-取费表'!k"&amp;$G$1)+INDIRECT("'数据-取费表'!s"&amp;$G$1)))</f>
        <v>50.74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50.74</v>
      </c>
      <c r="E19" s="203">
        <f>'数据-取费表'!B31</f>
        <v>200</v>
      </c>
      <c r="F19" s="223"/>
      <c r="G19" s="1714" t="s">
        <v>3440</v>
      </c>
    </row>
    <row r="20" spans="1:7" s="206" customFormat="1" ht="13.5" customHeight="1">
      <c r="A20" s="247" t="s">
        <v>1574</v>
      </c>
      <c r="B20" s="202" t="s">
        <v>1575</v>
      </c>
      <c r="C20" s="224">
        <f ca="1">ROUND((C5+C19)*F20,0)</f>
        <v>16278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52258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51748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510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124529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124529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1090864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254462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228330</v>
      </c>
      <c r="D34" s="209"/>
      <c r="E34" s="212"/>
      <c r="F34" s="249"/>
      <c r="G34" s="211"/>
    </row>
    <row r="35" spans="1:7" ht="13.5" customHeight="1">
      <c r="A35" s="734" t="s">
        <v>351</v>
      </c>
      <c r="B35" s="207" t="s">
        <v>1527</v>
      </c>
      <c r="C35" s="212">
        <f ca="1">ROUND(C34*F35,0)</f>
        <v>11417</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10148</v>
      </c>
      <c r="D37" s="209">
        <f ca="1">D19</f>
        <v>50.74</v>
      </c>
      <c r="E37" s="241">
        <f>'数据-取费表'!B35</f>
        <v>200</v>
      </c>
      <c r="F37" s="251"/>
      <c r="G37" s="253"/>
    </row>
    <row r="38" spans="1:7" ht="13.5" customHeight="1">
      <c r="A38" s="734" t="s">
        <v>354</v>
      </c>
      <c r="B38" s="207" t="s">
        <v>1533</v>
      </c>
      <c r="C38" s="212">
        <f ca="1">ROUND(C34*F38,0)</f>
        <v>4567</v>
      </c>
      <c r="D38" s="212"/>
      <c r="E38" s="212"/>
      <c r="F38" s="251">
        <f>'数据-取费表'!B36</f>
        <v>0.02</v>
      </c>
      <c r="G38" s="211" t="s">
        <v>1528</v>
      </c>
    </row>
    <row r="39" spans="1:7" s="206" customFormat="1" ht="13.5" customHeight="1">
      <c r="A39" s="247" t="s">
        <v>1534</v>
      </c>
      <c r="B39" s="202" t="s">
        <v>1535</v>
      </c>
      <c r="C39" s="224">
        <f ca="1">ROUND(C33*F20,0)</f>
        <v>5089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8124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7965</v>
      </c>
      <c r="D42" s="230"/>
      <c r="E42" s="230"/>
      <c r="F42" s="231"/>
      <c r="G42" s="3358" t="s">
        <v>1591</v>
      </c>
    </row>
    <row r="43" spans="1:7" ht="13.5" customHeight="1">
      <c r="A43" s="734" t="s">
        <v>347</v>
      </c>
      <c r="B43" s="207" t="s">
        <v>1545</v>
      </c>
      <c r="C43" s="230">
        <f ca="1">ROUND(IF('数据-取费表'!B22&lt;=1,C39*F22*'数据-取费表'!B20/2,C39*(POWER((1+F22),'数据-取费表'!B20/2)-1)),0)</f>
        <v>159</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38933</v>
      </c>
      <c r="D45" s="227">
        <f ca="1">C47</f>
        <v>3.0000000000000001E-3</v>
      </c>
      <c r="E45" s="228" t="s">
        <v>1539</v>
      </c>
      <c r="F45" s="238">
        <f ca="1">F27</f>
        <v>0.15</v>
      </c>
      <c r="G45" s="239" t="s">
        <v>1548</v>
      </c>
    </row>
    <row r="46" spans="1:7" s="206" customFormat="1" ht="13.5" customHeight="1">
      <c r="A46" s="734" t="s">
        <v>346</v>
      </c>
      <c r="B46" s="240" t="s">
        <v>1549</v>
      </c>
      <c r="C46" s="241">
        <f ca="1">ROUND((C33+C39)*F27,0)</f>
        <v>38933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332150</v>
      </c>
      <c r="D49" s="224"/>
      <c r="E49" s="224"/>
      <c r="F49" s="256"/>
      <c r="G49" s="226" t="s">
        <v>1554</v>
      </c>
    </row>
    <row r="50" spans="1:7" s="250" customFormat="1" ht="13.5">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229184</v>
      </c>
      <c r="D51" s="224"/>
      <c r="E51" s="224"/>
      <c r="F51" s="256"/>
      <c r="G51" s="226" t="s">
        <v>1560</v>
      </c>
    </row>
    <row r="52" spans="1:7" s="200" customFormat="1" ht="16.5" thickBot="1">
      <c r="A52" s="257" t="s">
        <v>1561</v>
      </c>
      <c r="B52" s="258"/>
      <c r="C52" s="259">
        <f ca="1">C31+C51</f>
        <v>1320048</v>
      </c>
      <c r="D52" s="258"/>
      <c r="E52" s="258"/>
      <c r="F52" s="258"/>
      <c r="G52" s="260"/>
    </row>
    <row r="55" spans="1:7" ht="15.5">
      <c r="B55" s="262" t="s">
        <v>1562</v>
      </c>
      <c r="C55" s="263"/>
    </row>
    <row r="56" spans="1:7" ht="13">
      <c r="B56" s="265" t="s">
        <v>802</v>
      </c>
      <c r="C56" s="267">
        <f ca="1">1-C57</f>
        <v>0.82600000000000007</v>
      </c>
    </row>
    <row r="57" spans="1:7" ht="13">
      <c r="B57" s="265" t="s">
        <v>803</v>
      </c>
      <c r="C57" s="266">
        <f ca="1">ROUND(C51/C52,3)</f>
        <v>0.17399999999999999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-197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50.74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50.74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50.74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2108</v>
      </c>
      <c r="E6" s="294" t="s">
        <v>696</v>
      </c>
      <c r="F6" s="295">
        <f ca="1">INDIRECT("'数据-取费表'!u"&amp;$G$1)</f>
        <v>0</v>
      </c>
      <c r="G6" s="1292"/>
      <c r="H6" s="1006" t="s">
        <v>398</v>
      </c>
      <c r="I6" s="3363" t="s">
        <v>694</v>
      </c>
      <c r="J6" s="293">
        <f ca="1">ROUND(M6*M8*M7*(1-M9)/10000,0)</f>
        <v>0</v>
      </c>
      <c r="K6" s="147"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50.74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78</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23088</v>
      </c>
      <c r="U2" s="1130"/>
      <c r="V2" s="3064">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15372</v>
      </c>
      <c r="C3" s="1846" t="s">
        <v>1941</v>
      </c>
      <c r="D3" s="162" t="s">
        <v>1942</v>
      </c>
      <c r="E3" s="3119" t="s">
        <v>3408</v>
      </c>
      <c r="F3" s="1848" t="s">
        <v>3430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18198</v>
      </c>
      <c r="U3" s="1130"/>
      <c r="V3" s="3064">
        <f t="shared" ref="V3:V16" si="1">ROUND(T3*U3/10000,0)</f>
        <v>0</v>
      </c>
      <c r="W3" s="1133"/>
      <c r="X3" s="1133"/>
      <c r="Y3" s="1133"/>
      <c r="Z3" s="1133"/>
      <c r="AA3" s="1133"/>
      <c r="AB3" s="1133"/>
      <c r="AC3" s="1134"/>
      <c r="AD3" s="1135"/>
      <c r="AE3" s="1135"/>
      <c r="AF3" s="1135"/>
      <c r="AG3" s="1135"/>
      <c r="AH3" s="1135"/>
      <c r="AI3" s="1135"/>
      <c r="AJ3" s="1136"/>
    </row>
    <row r="4" spans="1:36" ht="15.5">
      <c r="A4" s="3373"/>
      <c r="B4" s="3374"/>
      <c r="C4" s="3374"/>
      <c r="D4" s="3375"/>
      <c r="E4" s="3375"/>
      <c r="F4" s="3375"/>
      <c r="G4" s="3375"/>
      <c r="H4" s="3375"/>
      <c r="I4" s="3375"/>
      <c r="J4" s="3376"/>
      <c r="K4" s="1056"/>
      <c r="L4" s="1847" t="s">
        <v>1946</v>
      </c>
      <c r="M4" s="811">
        <f>SUMPRODUCT((区片价!B55:B86=I2)*(区片价!C3:G3=E2)*(区片价!C55:G86))</f>
        <v>19400</v>
      </c>
      <c r="N4" s="813">
        <f>SUMPRODUCT((因素修正幅度!B55:B86=I2)*(因素修正幅度!C3:G3=E2)*(因素修正幅度!C55:G86))</f>
        <v>9.7000000000000003E-2</v>
      </c>
      <c r="O4" s="1056"/>
      <c r="P4" s="1056"/>
      <c r="Q4" s="1056"/>
      <c r="R4" s="1129">
        <v>3</v>
      </c>
      <c r="S4" s="3064">
        <f>ROUND(SUMPRODUCT((B106:B110=R4)*(C105:N105=G2)*(C106:N110)),4)</f>
        <v>1.0004999999999999</v>
      </c>
      <c r="T4" s="3064">
        <f t="shared" si="0"/>
        <v>15380</v>
      </c>
      <c r="U4" s="1130"/>
      <c r="V4" s="3064">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19788</v>
      </c>
      <c r="D5" s="1252">
        <f>ROUND(C6*C17+C20,0)</f>
        <v>19400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13565</v>
      </c>
      <c r="U5" s="1130"/>
      <c r="V5" s="3064">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19400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13036</v>
      </c>
      <c r="U6" s="1130"/>
      <c r="V6" s="3064">
        <f t="shared" si="1"/>
        <v>0</v>
      </c>
      <c r="W6" s="1133"/>
      <c r="X6" s="1133"/>
      <c r="Y6" s="1133"/>
      <c r="Z6" s="1133"/>
      <c r="AA6" s="1133"/>
      <c r="AB6" s="1133"/>
      <c r="AC6" s="1855"/>
      <c r="AD6" s="1856"/>
      <c r="AE6" s="1856"/>
      <c r="AF6" s="1856"/>
      <c r="AG6" s="1856"/>
      <c r="AH6" s="1856"/>
      <c r="AI6" s="1856"/>
      <c r="AJ6" s="1857"/>
    </row>
    <row r="7" spans="1:36" ht="26.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2"/>
      <c r="X9" s="3065" t="s">
        <v>3265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7" thickBot="1">
      <c r="A12" s="3013" t="s">
        <v>3237</v>
      </c>
      <c r="B12" s="3014" t="s">
        <v>3238</v>
      </c>
      <c r="C12" s="3015">
        <v>1.02</v>
      </c>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6.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6">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3247</v>
      </c>
      <c r="E18" s="2357"/>
      <c r="F18" s="3031" t="s">
        <v>3250</v>
      </c>
      <c r="G18" s="3035">
        <f>ROUND(1-(1/(POWER(1+G24,E18))),4)</f>
        <v>0</v>
      </c>
      <c r="H18" s="3031" t="s">
        <v>3252</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377" t="s">
        <v>3253</v>
      </c>
      <c r="B20" s="159" t="s">
        <v>1994</v>
      </c>
      <c r="C20" s="3032">
        <f>ROUND(IF(F21="与级别开发程度一致",0,(G21-E21)/C21),0)</f>
        <v>0</v>
      </c>
      <c r="D20" s="3047" t="s">
        <v>1998</v>
      </c>
      <c r="E20" s="3048"/>
      <c r="F20" s="3383" t="s">
        <v>1995</v>
      </c>
      <c r="G20" s="338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5.5" thickBot="1">
      <c r="A21" s="337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46008</v>
      </c>
      <c r="H23" s="3049" t="s">
        <v>3432</v>
      </c>
      <c r="I23" s="3050" t="str">
        <f>IF(H23="季度增幅（自定义）",SUMIF(N25:N28,E2,O25:O28),"")</f>
        <v/>
      </c>
      <c r="J23" s="3142" t="s">
        <v>3433</v>
      </c>
      <c r="K23" s="1061"/>
      <c r="L23" s="1897" t="s">
        <v>2004</v>
      </c>
      <c r="M23" s="1241">
        <f>ROUND(SUMIF(地价!B2:G2,E2,地价!B16:G16),0)</f>
        <v>350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0.76039999999999996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23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3332</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3254</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3255</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78</v>
      </c>
      <c r="D30" s="1925"/>
      <c r="E30" s="1842"/>
      <c r="F30" s="1926"/>
      <c r="G30" s="1842"/>
      <c r="H30" s="1842"/>
      <c r="I30" s="1842"/>
      <c r="J30" s="1927"/>
      <c r="K30" s="1056"/>
      <c r="L30" s="3056" t="s">
        <v>1936</v>
      </c>
      <c r="M30" s="3057" t="s">
        <v>1990</v>
      </c>
      <c r="N30" s="3057" t="s">
        <v>1991</v>
      </c>
      <c r="O30" s="3057" t="s">
        <v>1992</v>
      </c>
      <c r="P30" s="3057" t="s">
        <v>1993</v>
      </c>
      <c r="Q30" s="3060"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15372</v>
      </c>
      <c r="D33" s="1940">
        <f>'数据-汇总表'!E19</f>
        <v>50.74</v>
      </c>
      <c r="E33" s="727">
        <f>ROUND(C33*D33/10000,0)</f>
        <v>78</v>
      </c>
      <c r="F33" s="3051" t="s">
        <v>3257</v>
      </c>
      <c r="G33" s="1941"/>
      <c r="H33" s="1941"/>
      <c r="I33" s="1941"/>
      <c r="J33" s="1942"/>
      <c r="K33" s="1056"/>
      <c r="L33" s="3054" t="s">
        <v>3260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3843</v>
      </c>
      <c r="D34" s="1945"/>
      <c r="E34" s="727">
        <f>ROUND(IF(B25="楼层修正",SUM(V2:V16)*M40,C34*D34/10000),0)</f>
        <v>0</v>
      </c>
      <c r="F34" s="1946" t="s">
        <v>2032</v>
      </c>
      <c r="G34" s="1947"/>
      <c r="H34" s="1947"/>
      <c r="I34" s="1947"/>
      <c r="J34" s="1948"/>
      <c r="K34" s="1056"/>
      <c r="L34" s="3054" t="s">
        <v>3261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3262</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81"/>
      <c r="B37" s="1955" t="s">
        <v>2036</v>
      </c>
      <c r="C37" s="167">
        <f>ROUND(D5*C22*C23*C24*C28*F37,0)</f>
        <v>9043</v>
      </c>
      <c r="D37" s="1940"/>
      <c r="E37" s="163">
        <f>ROUND(C37*D37/10000,0)</f>
        <v>0</v>
      </c>
      <c r="F37" s="163">
        <f>SUMIF(修正!A59:A70,G2,修正!B59:B70)</f>
        <v>0.6</v>
      </c>
      <c r="G37" s="163">
        <f>ROUND(IF(E2="工业",C37*$M$42,C37*$M$41),0)</f>
        <v>2261</v>
      </c>
      <c r="H37" s="163">
        <f>D37</f>
        <v>0</v>
      </c>
      <c r="I37" s="163">
        <f>ROUND(G37*H37/10000,0)</f>
        <v>0</v>
      </c>
      <c r="J37" s="2755"/>
      <c r="K37" s="3062" t="s">
        <v>3263</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82"/>
      <c r="B38" s="1884" t="s">
        <v>2037</v>
      </c>
      <c r="C38" s="167">
        <f>ROUND(D5*C22*C23*C24*C28*F38,0)</f>
        <v>4521</v>
      </c>
      <c r="D38" s="1940"/>
      <c r="E38" s="163">
        <f t="shared" ref="E38:E42" si="4">ROUND(C38*D38/10000,0)</f>
        <v>0</v>
      </c>
      <c r="F38" s="163">
        <f>SUMIF(修正!A59:A70,G2,修正!C59:C70)</f>
        <v>0.3</v>
      </c>
      <c r="G38" s="163">
        <f>ROUND(IF(E2="工业",C38*$M$42,C38*$M$41),0)</f>
        <v>1130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2"/>
      <c r="B39" s="1884" t="s">
        <v>3256</v>
      </c>
      <c r="C39" s="167">
        <f>ROUND(D5*C22*C23*C24*C28*F39,0)</f>
        <v>3768</v>
      </c>
      <c r="D39" s="1940"/>
      <c r="E39" s="163">
        <f t="shared" si="4"/>
        <v>0</v>
      </c>
      <c r="F39" s="163">
        <f>SUMIF(修正!A59:A70,G2,修正!D59:D70)</f>
        <v>0.25</v>
      </c>
      <c r="G39" s="163">
        <f>ROUND(IF(E2="工业",C39*$M$42,C39*$M$41),0)</f>
        <v>942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3768</v>
      </c>
      <c r="D40" s="1940"/>
      <c r="E40" s="163">
        <f t="shared" si="4"/>
        <v>0</v>
      </c>
      <c r="F40" s="167">
        <f>SUMIF(修正!A59:A70,G2,修正!E59:E70)</f>
        <v>0.25</v>
      </c>
      <c r="G40" s="163">
        <f>ROUND(IF(E2="工业",C40*$M$42,C40*$M$41),0)</f>
        <v>942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3264</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3434</v>
      </c>
      <c r="D61" s="1002">
        <f t="shared" ref="D61:D69" si="12">SUMIF($J$60:$N$60,C61,J61:N61)</f>
        <v>1.21E-2</v>
      </c>
      <c r="E61" s="702">
        <f>ROUND(SUM(D61:D69),4)</f>
        <v>5.0099999999999999E-2</v>
      </c>
      <c r="F61" s="1675">
        <f>IF(E2="办公",SUMIF(L1:L12,G2,N1:N12),"——")</f>
        <v>9.7000000000000003E-2</v>
      </c>
      <c r="G61" s="1000">
        <v>1.21E-2</v>
      </c>
      <c r="H61" s="1003">
        <f t="shared" ref="H61:H69" si="13">IFERROR(ROUNDDOWN($F$61*I61/2,4),"——")</f>
        <v>1.21E-2</v>
      </c>
      <c r="I61" s="3069">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3434</v>
      </c>
      <c r="D62" s="1002">
        <f t="shared" si="12"/>
        <v>1.26E-2</v>
      </c>
      <c r="E62" s="703"/>
      <c r="F62" s="1675"/>
      <c r="G62" s="1000">
        <v>1.26E-2</v>
      </c>
      <c r="H62" s="1003">
        <f t="shared" si="13"/>
        <v>1.26E-2</v>
      </c>
      <c r="I62" s="3069">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39">
      <c r="A63" s="3071" t="s">
        <v>3266</v>
      </c>
      <c r="B63" s="1262">
        <f>估价对象房地状况!C19</f>
        <v>0</v>
      </c>
      <c r="C63" s="1887" t="s">
        <v>3434</v>
      </c>
      <c r="D63" s="1002">
        <f t="shared" si="12"/>
        <v>5.3E-3</v>
      </c>
      <c r="E63" s="703"/>
      <c r="F63" s="1675"/>
      <c r="G63" s="1000">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9">
      <c r="A64" s="1970" t="s">
        <v>2054</v>
      </c>
      <c r="B64" s="1974" t="s">
        <v>2055</v>
      </c>
      <c r="C64" s="1887" t="s">
        <v>3435</v>
      </c>
      <c r="D64" s="1002">
        <f t="shared" si="12"/>
        <v>0</v>
      </c>
      <c r="E64" s="703"/>
      <c r="F64" s="1675"/>
      <c r="G64" s="1000">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3434</v>
      </c>
      <c r="D65" s="1002">
        <f t="shared" si="12"/>
        <v>2.3999999999999998E-3</v>
      </c>
      <c r="E65" s="703"/>
      <c r="F65" s="1675"/>
      <c r="G65" s="1000">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3434</v>
      </c>
      <c r="D66" s="1002">
        <f t="shared" si="12"/>
        <v>2.8999999999999998E-3</v>
      </c>
      <c r="E66" s="703"/>
      <c r="F66" s="1675"/>
      <c r="G66" s="1000">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3434</v>
      </c>
      <c r="D67" s="1002">
        <f t="shared" si="12"/>
        <v>2.8999999999999998E-3</v>
      </c>
      <c r="E67" s="703"/>
      <c r="F67" s="1675"/>
      <c r="G67" s="1000">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3436</v>
      </c>
      <c r="D68" s="1002">
        <f t="shared" si="12"/>
        <v>8.6E-3</v>
      </c>
      <c r="E68" s="703"/>
      <c r="F68" s="1675"/>
      <c r="G68" s="1000">
        <v>4.3E-3</v>
      </c>
      <c r="H68" s="1003">
        <f t="shared" si="13"/>
        <v>4.3E-3</v>
      </c>
      <c r="I68" s="3069">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3434</v>
      </c>
      <c r="D69" s="1002">
        <f t="shared" si="12"/>
        <v>3.3E-3</v>
      </c>
      <c r="E69" s="704"/>
      <c r="F69" s="1675"/>
      <c r="G69" s="1000">
        <v>3.3E-3</v>
      </c>
      <c r="H69" s="1003">
        <f t="shared" si="13"/>
        <v>3.3E-3</v>
      </c>
      <c r="I69" s="3070">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3267</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2611</v>
      </c>
      <c r="B91" s="3080">
        <f>1+E93</f>
        <v>1</v>
      </c>
      <c r="C91" s="3073"/>
      <c r="D91" s="3074"/>
      <c r="E91" s="1675"/>
      <c r="F91" s="1675"/>
      <c r="G91" s="3075"/>
      <c r="H91" s="3076"/>
      <c r="I91" s="3077"/>
      <c r="J91" s="3078"/>
      <c r="K91" s="3078"/>
      <c r="L91" s="3078"/>
      <c r="M91" s="3078"/>
      <c r="N91" s="3078"/>
    </row>
    <row r="92" spans="1:37" ht="26">
      <c r="A92" s="3081" t="s">
        <v>3268</v>
      </c>
      <c r="B92" s="2310"/>
      <c r="C92" s="2310" t="s">
        <v>3277</v>
      </c>
      <c r="D92" s="2310" t="s">
        <v>3278</v>
      </c>
      <c r="E92" s="3053" t="s">
        <v>3279</v>
      </c>
      <c r="F92" s="3083" t="s">
        <v>3280</v>
      </c>
      <c r="G92" s="2310" t="s">
        <v>3281</v>
      </c>
      <c r="H92" s="3090" t="s">
        <v>3284</v>
      </c>
      <c r="I92" s="2310" t="s">
        <v>3285</v>
      </c>
      <c r="J92" s="2150" t="s">
        <v>3286</v>
      </c>
      <c r="K92" s="2150" t="s">
        <v>3287</v>
      </c>
      <c r="L92" s="2150" t="s">
        <v>3288</v>
      </c>
      <c r="M92" s="2150" t="s">
        <v>3289</v>
      </c>
      <c r="N92" s="2150" t="s">
        <v>3290</v>
      </c>
    </row>
    <row r="93" spans="1:37" ht="26">
      <c r="A93" s="3071" t="s">
        <v>3269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3270</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3266</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3271</v>
      </c>
      <c r="B96" s="3087" t="s">
        <v>3282</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3272</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3273</v>
      </c>
      <c r="B98" s="3088" t="s">
        <v>3283</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3274</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3275</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3276</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379" t="s">
        <v>3291</v>
      </c>
      <c r="B103" s="3379"/>
      <c r="C103" s="3379"/>
      <c r="D103" s="3379"/>
      <c r="E103" s="3379"/>
      <c r="F103" s="3379"/>
      <c r="G103" s="3379"/>
      <c r="H103" s="3379"/>
      <c r="I103" s="3379"/>
      <c r="J103" s="3379"/>
      <c r="K103" s="1667"/>
      <c r="L103" s="1667"/>
      <c r="M103" s="1667"/>
      <c r="N103" s="1667"/>
    </row>
    <row r="104" spans="1:14" ht="13">
      <c r="A104" s="3380" t="s">
        <v>3292</v>
      </c>
      <c r="B104" s="3380" t="s">
        <v>3293</v>
      </c>
      <c r="C104" s="3091" t="s">
        <v>3294</v>
      </c>
      <c r="D104" s="3092"/>
      <c r="E104" s="3092"/>
      <c r="F104" s="3092"/>
      <c r="G104" s="3092"/>
      <c r="H104" s="3092"/>
      <c r="I104" s="3092"/>
      <c r="J104" s="3093"/>
      <c r="K104" s="3094"/>
      <c r="L104" s="3094"/>
      <c r="M104" s="3094"/>
      <c r="N104" s="3094"/>
    </row>
    <row r="105" spans="1:14" ht="13">
      <c r="A105" s="3380"/>
      <c r="B105" s="3380"/>
      <c r="C105" s="3095" t="s">
        <v>3295</v>
      </c>
      <c r="D105" s="3095" t="s">
        <v>3296</v>
      </c>
      <c r="E105" s="3095" t="s">
        <v>3297</v>
      </c>
      <c r="F105" s="3095" t="s">
        <v>3298</v>
      </c>
      <c r="G105" s="3095" t="s">
        <v>3299</v>
      </c>
      <c r="H105" s="3095" t="s">
        <v>3300</v>
      </c>
      <c r="I105" s="3095" t="s">
        <v>3301</v>
      </c>
      <c r="J105" s="3095" t="s">
        <v>3302</v>
      </c>
      <c r="K105" s="3095" t="s">
        <v>3303</v>
      </c>
      <c r="L105" s="3095" t="s">
        <v>3304</v>
      </c>
      <c r="M105" s="3095" t="s">
        <v>3305</v>
      </c>
      <c r="N105" s="3095" t="s">
        <v>3306</v>
      </c>
    </row>
    <row r="106" spans="1:14">
      <c r="A106" s="3366" t="s">
        <v>3307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367"/>
      <c r="B111" s="3095" t="s">
        <v>3265</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369" t="s">
        <v>3308</v>
      </c>
      <c r="B113" s="3369"/>
      <c r="C113" s="3369"/>
      <c r="D113" s="3369"/>
      <c r="E113" s="3369"/>
      <c r="F113" s="3369"/>
      <c r="G113" s="3369"/>
      <c r="H113" s="3369"/>
      <c r="I113" s="3369"/>
      <c r="J113" s="336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3309</v>
      </c>
      <c r="B116" s="3115">
        <f>G3</f>
        <v>2.5</v>
      </c>
      <c r="C116" s="3100" t="s">
        <v>3310</v>
      </c>
      <c r="D116" s="3101">
        <f>SUMPRODUCT((A118:A122=F116)*(B117:M117=H116)*B118:M122)</f>
        <v>0.90600000000000003</v>
      </c>
      <c r="E116" s="162" t="s">
        <v>3311</v>
      </c>
      <c r="F116" s="3102" t="str">
        <f>E2</f>
        <v>办公</v>
      </c>
      <c r="G116" s="162" t="s">
        <v>3312</v>
      </c>
      <c r="H116" s="3102" t="str">
        <f>G2</f>
        <v>四级</v>
      </c>
      <c r="I116" s="162"/>
      <c r="J116" s="3103"/>
      <c r="K116" s="3103"/>
      <c r="L116" s="3103"/>
      <c r="M116" s="3103"/>
      <c r="N116" s="3098"/>
    </row>
    <row r="117" spans="1:14" ht="13">
      <c r="A117" s="3104"/>
      <c r="B117" s="3105" t="s">
        <v>3313</v>
      </c>
      <c r="C117" s="3105" t="s">
        <v>3314</v>
      </c>
      <c r="D117" s="3105" t="s">
        <v>3315</v>
      </c>
      <c r="E117" s="3106" t="s">
        <v>3316</v>
      </c>
      <c r="F117" s="3106" t="s">
        <v>3317</v>
      </c>
      <c r="G117" s="3106" t="s">
        <v>3318</v>
      </c>
      <c r="H117" s="3107" t="s">
        <v>3319</v>
      </c>
      <c r="I117" s="3107" t="s">
        <v>3320</v>
      </c>
      <c r="J117" s="3108" t="s">
        <v>3321</v>
      </c>
      <c r="K117" s="3108" t="s">
        <v>3322</v>
      </c>
      <c r="L117" s="3108" t="s">
        <v>3323</v>
      </c>
      <c r="M117" s="3109" t="s">
        <v>3324</v>
      </c>
      <c r="N117" s="3098"/>
    </row>
    <row r="118" spans="1:14" ht="13">
      <c r="A118" s="3058" t="s">
        <v>3325</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ht="13">
      <c r="A119" s="3058" t="s">
        <v>3326</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ht="13">
      <c r="A120" s="3058" t="s">
        <v>3327</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3328</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ht="13">
      <c r="A122" s="3114" t="s">
        <v>2611</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8" sqref="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217</v>
      </c>
      <c r="D1" s="1271" t="s">
        <v>43</v>
      </c>
      <c r="E1" s="1272" t="s">
        <v>678</v>
      </c>
      <c r="F1" s="999">
        <f ca="1">J53</f>
        <v>23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106.5484</v>
      </c>
      <c r="C2" s="1289" t="s">
        <v>879</v>
      </c>
      <c r="D2" s="1375">
        <f ca="1">C40+J29+L46</f>
        <v>1065484</v>
      </c>
      <c r="E2" s="1295" t="s">
        <v>880</v>
      </c>
      <c r="F2" s="1296"/>
      <c r="G2" s="2479"/>
      <c r="H2" s="2469"/>
      <c r="I2" s="2469"/>
      <c r="J2" s="2469"/>
      <c r="K2" s="2470"/>
      <c r="L2" s="2469"/>
      <c r="M2" s="2469"/>
    </row>
    <row r="3" spans="1:37" ht="18" customHeight="1" thickBot="1">
      <c r="A3" s="1297" t="s">
        <v>881</v>
      </c>
      <c r="B3" s="1298">
        <f ca="1">IF(ISERROR(D2/F43),0,ROUND(D2/F43,0))</f>
        <v>20999</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75100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75006</v>
      </c>
      <c r="D6" s="147" t="s">
        <v>2105</v>
      </c>
      <c r="E6" s="294" t="s">
        <v>696</v>
      </c>
      <c r="F6" s="295">
        <f ca="1">INDIRECT("'数据-取费表'!u"&amp;$G$1)</f>
        <v>4.5</v>
      </c>
      <c r="G6" s="1292"/>
      <c r="H6" s="1006" t="s">
        <v>398</v>
      </c>
      <c r="I6" s="3363" t="s">
        <v>694</v>
      </c>
      <c r="J6" s="293">
        <f ca="1">ROUND(M6*M8*M7*(1-M9),0)</f>
        <v>0</v>
      </c>
      <c r="K6" s="1284" t="s">
        <v>2106</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50.74</v>
      </c>
      <c r="G7" s="1292"/>
      <c r="H7" s="296"/>
      <c r="I7" s="3364"/>
      <c r="J7" s="298"/>
      <c r="K7" s="299"/>
      <c r="L7" s="294" t="s">
        <v>697</v>
      </c>
      <c r="M7" s="295">
        <f ca="1">F7</f>
        <v>50.74</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3442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229184</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228330</v>
      </c>
      <c r="D14" s="1257" t="s">
        <v>708</v>
      </c>
      <c r="E14" s="1255"/>
      <c r="F14" s="311"/>
      <c r="G14" s="1292"/>
      <c r="H14" s="928" t="s">
        <v>398</v>
      </c>
      <c r="I14" s="294" t="s">
        <v>709</v>
      </c>
      <c r="J14" s="21">
        <f ca="1">C29</f>
        <v>332150</v>
      </c>
      <c r="K14" s="12"/>
      <c r="L14" s="759"/>
      <c r="M14" s="760"/>
    </row>
    <row r="15" spans="1:37" s="1304" customFormat="1" ht="18" customHeight="1" thickBot="1">
      <c r="A15" s="928" t="s">
        <v>399</v>
      </c>
      <c r="B15" s="294" t="s">
        <v>710</v>
      </c>
      <c r="C15" s="21">
        <f ca="1">ROUND(C14*F15,0)</f>
        <v>11417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1661</v>
      </c>
      <c r="K16" s="1024" t="s">
        <v>715</v>
      </c>
      <c r="L16" s="1025"/>
      <c r="M16" s="1009"/>
    </row>
    <row r="17" spans="1:37" s="1304" customFormat="1" ht="18" customHeight="1">
      <c r="A17" s="928" t="s">
        <v>681</v>
      </c>
      <c r="B17" s="294" t="s">
        <v>716</v>
      </c>
      <c r="C17" s="21">
        <f ca="1">ROUND(F17*(F43+INDIRECT("'数据-取费表'!S"&amp;$G$1)),0)</f>
        <v>10148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4567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254462</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5089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1661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8124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-1661</v>
      </c>
      <c r="K25" s="1032" t="s">
        <v>753</v>
      </c>
      <c r="L25" s="1033"/>
      <c r="M25" s="1034"/>
    </row>
    <row r="26" spans="1:37" ht="18" customHeight="1">
      <c r="A26" s="928" t="s">
        <v>397</v>
      </c>
      <c r="B26" s="294" t="s">
        <v>754</v>
      </c>
      <c r="C26" s="21">
        <f ca="1">ROUND((C19+C20)*F26,0)</f>
        <v>38933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332150</v>
      </c>
      <c r="D29" s="1029"/>
      <c r="E29" s="1027"/>
      <c r="F29" s="1030"/>
      <c r="G29" s="1303"/>
      <c r="H29" s="325" t="s">
        <v>396</v>
      </c>
      <c r="I29" s="326" t="s">
        <v>768</v>
      </c>
      <c r="J29" s="327">
        <f ca="1">ROUND(J26/(1+F40)^F41,0)</f>
        <v>0</v>
      </c>
      <c r="K29" s="328" t="s">
        <v>769</v>
      </c>
      <c r="L29" s="329"/>
      <c r="M29" s="330">
        <f ca="1">INDIRECT("'数据-取费表'!k"&amp;$G$1)</f>
        <v>50.74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7641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5000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1661</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229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751</v>
      </c>
      <c r="D38" s="1029" t="s">
        <v>748</v>
      </c>
      <c r="E38" s="1027" t="s">
        <v>744</v>
      </c>
      <c r="F38" s="1023">
        <f ca="1">INDIRECT("'数据-取费表'!Am"&amp;$G$1)</f>
        <v>0.01</v>
      </c>
      <c r="G38" s="1292"/>
      <c r="H38" s="2474"/>
      <c r="I38" s="1305"/>
      <c r="J38" s="1306"/>
      <c r="K38" s="2472"/>
      <c r="L38" s="2474"/>
      <c r="M38" s="2474"/>
    </row>
    <row r="39" spans="1:18" ht="24.65" customHeight="1" thickTop="1">
      <c r="A39" s="1016" t="s">
        <v>394</v>
      </c>
      <c r="B39" s="1031" t="s">
        <v>772</v>
      </c>
      <c r="C39" s="302">
        <f ca="1">C5-C30</f>
        <v>67459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1040307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23</v>
      </c>
      <c r="G41" s="1292"/>
      <c r="H41" s="121">
        <f ca="1">C39/C5</f>
        <v>0.89825565912117178</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20503</v>
      </c>
      <c r="D43" s="328" t="s">
        <v>777</v>
      </c>
      <c r="E43" s="329" t="s">
        <v>778</v>
      </c>
      <c r="F43" s="330">
        <f ca="1">INDIRECT("'数据-取费表'!k"&amp;$G$1)</f>
        <v>50.74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f ca="1">ROUND((C68-C40)/10000,4)</f>
        <v>-106.4641</v>
      </c>
      <c r="D45" s="3131" t="s">
        <v>3350</v>
      </c>
      <c r="E45" s="1307"/>
      <c r="F45" s="1307"/>
      <c r="O45" s="1310" t="s">
        <v>808</v>
      </c>
      <c r="P45" s="1366"/>
      <c r="Q45" s="1366"/>
      <c r="R45" s="1366"/>
    </row>
    <row r="46" spans="1:18" s="1292" customFormat="1" ht="14" thickBot="1">
      <c r="A46" s="1311" t="s">
        <v>809</v>
      </c>
      <c r="C46" s="1312">
        <f ca="1">ROUND(C45,0)</f>
        <v>-106</v>
      </c>
      <c r="D46" s="1313" t="str">
        <f>C2</f>
        <v>万元</v>
      </c>
      <c r="I46" s="1314" t="s">
        <v>810</v>
      </c>
      <c r="J46" s="1315"/>
      <c r="K46" s="1316"/>
      <c r="L46" s="1317">
        <f ca="1">IF(M47="住宅",0,IF(L48&gt;J51,L60,J60))</f>
        <v>25177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1040307</v>
      </c>
      <c r="R47" s="1327" t="s">
        <v>818</v>
      </c>
    </row>
    <row r="48" spans="1:18" s="1292" customFormat="1" ht="43.5" thickBot="1">
      <c r="A48" s="1047" t="s">
        <v>438</v>
      </c>
      <c r="B48" s="292" t="s">
        <v>692</v>
      </c>
      <c r="C48" s="1268">
        <f ca="1">C49+C53+C55</f>
        <v>0</v>
      </c>
      <c r="D48" s="1049"/>
      <c r="E48" s="1050"/>
      <c r="F48" s="908"/>
      <c r="G48" s="681"/>
      <c r="H48" s="682"/>
      <c r="I48" s="1328" t="s">
        <v>819</v>
      </c>
      <c r="J48" s="1329" t="s">
        <v>3444</v>
      </c>
      <c r="K48" s="1330" t="s">
        <v>820</v>
      </c>
      <c r="L48" s="1331">
        <f ca="1">INDIRECT("'数据-取费表'!f"&amp;$G$1)</f>
        <v>23</v>
      </c>
      <c r="O48" s="1325" t="s">
        <v>404</v>
      </c>
      <c r="P48" s="1326" t="s">
        <v>821</v>
      </c>
      <c r="Q48" s="1327">
        <f ca="1">J60</f>
        <v>25177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2000</v>
      </c>
      <c r="K49" s="1330" t="s">
        <v>824</v>
      </c>
      <c r="L49" s="1333"/>
      <c r="O49" s="1334" t="s">
        <v>405</v>
      </c>
      <c r="P49" s="1326" t="s">
        <v>825</v>
      </c>
      <c r="Q49" s="1327">
        <f ca="1">C29</f>
        <v>332150</v>
      </c>
      <c r="R49" s="1327" t="s">
        <v>818</v>
      </c>
    </row>
    <row r="50" spans="1:18" s="1292" customFormat="1" ht="13.5" thickBot="1">
      <c r="A50" s="922"/>
      <c r="B50" s="925"/>
      <c r="C50" s="926"/>
      <c r="D50" s="899"/>
      <c r="E50" s="993" t="s">
        <v>697</v>
      </c>
      <c r="F50" s="994">
        <f ca="1">F7</f>
        <v>50.74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841898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23</v>
      </c>
      <c r="K53" s="3361" t="s">
        <v>837</v>
      </c>
      <c r="L53" s="3362"/>
      <c r="O53" s="1325" t="s">
        <v>409</v>
      </c>
      <c r="P53" s="1326" t="s">
        <v>838</v>
      </c>
      <c r="Q53" s="1327">
        <f ca="1">Q47+Q48</f>
        <v>1065484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229184</v>
      </c>
      <c r="D56" s="1352"/>
      <c r="E56" s="1353"/>
      <c r="F56" s="1345"/>
      <c r="I56" s="1354" t="s">
        <v>842</v>
      </c>
      <c r="J56" s="1355" t="s">
        <v>3426</v>
      </c>
      <c r="K56" s="1328" t="s">
        <v>843</v>
      </c>
      <c r="L56" s="1331" t="str">
        <f ca="1">IF(L48&lt;J51,"——",L48-J51)</f>
        <v>——</v>
      </c>
      <c r="O56" s="1325" t="s">
        <v>403</v>
      </c>
      <c r="P56" s="1326" t="s">
        <v>817</v>
      </c>
      <c r="Q56" s="1327">
        <f ca="1">C40+J29</f>
        <v>1040307</v>
      </c>
      <c r="R56" s="1327" t="s">
        <v>818</v>
      </c>
    </row>
    <row r="57" spans="1:18" s="1292" customFormat="1" ht="26.5" thickBot="1">
      <c r="A57" s="1356"/>
      <c r="B57" s="896" t="s">
        <v>767</v>
      </c>
      <c r="C57" s="230">
        <f ca="1">C29</f>
        <v>332150</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1890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132860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25177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1040307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1661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229</v>
      </c>
      <c r="D65" s="910" t="s">
        <v>743</v>
      </c>
      <c r="E65" s="896" t="s">
        <v>744</v>
      </c>
      <c r="F65" s="321">
        <f t="shared" ca="1" si="0"/>
        <v>1E-3</v>
      </c>
      <c r="I65" s="1367" t="s">
        <v>867</v>
      </c>
      <c r="J65" s="610">
        <v>40</v>
      </c>
      <c r="K65" s="610">
        <v>30</v>
      </c>
      <c r="L65" s="610">
        <v>50</v>
      </c>
      <c r="M65" s="1369">
        <v>0.02</v>
      </c>
      <c r="O65" s="1325" t="s">
        <v>403</v>
      </c>
      <c r="P65" s="1326" t="s">
        <v>868</v>
      </c>
      <c r="Q65" s="1327">
        <f ca="1">C40+J29</f>
        <v>1040307</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-1890</v>
      </c>
      <c r="D67" s="909" t="s">
        <v>753</v>
      </c>
      <c r="E67" s="914"/>
      <c r="F67" s="915"/>
      <c r="O67" s="1334" t="s">
        <v>405</v>
      </c>
      <c r="P67" s="1326" t="s">
        <v>850</v>
      </c>
      <c r="Q67" s="1370">
        <f ca="1">L51</f>
        <v>841898</v>
      </c>
      <c r="R67" s="1327" t="s">
        <v>870</v>
      </c>
    </row>
    <row r="68" spans="1:18" s="1292" customFormat="1" ht="16" thickBot="1">
      <c r="A68" s="893" t="s">
        <v>395</v>
      </c>
      <c r="B68" s="894" t="s">
        <v>774</v>
      </c>
      <c r="C68" s="293">
        <f ca="1">ROUND(C67*(1-((1+F70)/(1+F68))^F69)/(F68-F70),0)</f>
        <v>-24334</v>
      </c>
      <c r="D68" s="911" t="s">
        <v>758</v>
      </c>
      <c r="E68" s="896" t="s">
        <v>759</v>
      </c>
      <c r="F68" s="304">
        <f ca="1">F40</f>
        <v>5.5E-2</v>
      </c>
      <c r="O68" s="1334" t="s">
        <v>406</v>
      </c>
      <c r="P68" s="1371" t="s">
        <v>871</v>
      </c>
      <c r="Q68" s="1327">
        <f ca="1">ROUND(Q69-Q70*Q71,0)</f>
        <v>51416</v>
      </c>
      <c r="R68" s="1327" t="s">
        <v>414</v>
      </c>
    </row>
    <row r="69" spans="1:18" s="1292" customFormat="1" ht="13.5" thickBot="1">
      <c r="A69" s="897"/>
      <c r="B69" s="898"/>
      <c r="C69" s="298"/>
      <c r="D69" s="916" t="s">
        <v>762</v>
      </c>
      <c r="E69" s="896" t="s">
        <v>763</v>
      </c>
      <c r="F69" s="324">
        <f ca="1">F41</f>
        <v>23</v>
      </c>
      <c r="O69" s="1334" t="s">
        <v>411</v>
      </c>
      <c r="P69" s="1371" t="s">
        <v>872</v>
      </c>
      <c r="Q69" s="1327">
        <f ca="1">C39</f>
        <v>67459</v>
      </c>
      <c r="R69" s="1327" t="s">
        <v>818</v>
      </c>
    </row>
    <row r="70" spans="1:18" s="1292" customFormat="1" ht="13.5" thickBot="1">
      <c r="A70" s="900"/>
      <c r="B70" s="901"/>
      <c r="C70" s="302"/>
      <c r="D70" s="912"/>
      <c r="E70" s="896" t="s">
        <v>766</v>
      </c>
      <c r="F70" s="991"/>
      <c r="O70" s="1334" t="s">
        <v>412</v>
      </c>
      <c r="P70" s="1371" t="s">
        <v>873</v>
      </c>
      <c r="Q70" s="1327">
        <f ca="1">C13</f>
        <v>229184</v>
      </c>
      <c r="R70" s="1327" t="s">
        <v>818</v>
      </c>
    </row>
    <row r="71" spans="1:18" s="1292" customFormat="1" ht="13.5" thickBot="1">
      <c r="A71" s="917" t="s">
        <v>396</v>
      </c>
      <c r="B71" s="918" t="s">
        <v>776</v>
      </c>
      <c r="C71" s="327">
        <f ca="1">ROUND(C68/F71,0)</f>
        <v>-480</v>
      </c>
      <c r="D71" s="919" t="s">
        <v>777</v>
      </c>
      <c r="E71" s="920" t="s">
        <v>778</v>
      </c>
      <c r="F71" s="330">
        <f ca="1">F43</f>
        <v>50.74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16043</v>
      </c>
      <c r="D75" s="1292"/>
      <c r="E75" s="1292"/>
      <c r="F75" s="1292"/>
      <c r="K75" s="1309"/>
      <c r="L75" s="1292"/>
      <c r="O75" s="1325" t="s">
        <v>409</v>
      </c>
      <c r="P75" s="1326" t="s">
        <v>838</v>
      </c>
      <c r="Q75" s="1327">
        <f ca="1">Q65+Q66</f>
        <v>1040307</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0.76200000000000001</v>
      </c>
    </row>
    <row r="80" spans="1:18" ht="13">
      <c r="B80" s="331" t="s">
        <v>800</v>
      </c>
      <c r="C80" s="266">
        <f ca="1">ROUND(C75/C39,3)</f>
        <v>0.23799999999999999</v>
      </c>
    </row>
    <row r="81" spans="2:3" ht="13.5">
      <c r="B81" s="262" t="s">
        <v>801</v>
      </c>
      <c r="C81" s="230"/>
    </row>
    <row r="82" spans="2:3" ht="13">
      <c r="B82" s="265" t="s">
        <v>802</v>
      </c>
      <c r="C82" s="267">
        <f ca="1">1-C83</f>
        <v>0.78</v>
      </c>
    </row>
    <row r="83" spans="2:3" ht="13">
      <c r="B83" s="265" t="s">
        <v>803</v>
      </c>
      <c r="C83" s="266">
        <f ca="1">ROUND(C13/C40,3)</f>
        <v>0.22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2" sqref="E2"/>
      <selection pane="bottomLeft" activeCell="R25" sqref="R25"/>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88" t="s">
        <v>2084</v>
      </c>
      <c r="D1" s="3389"/>
      <c r="E1" s="3389"/>
      <c r="F1" s="3389"/>
      <c r="G1" s="3389"/>
      <c r="H1" s="3389"/>
      <c r="I1" s="3389"/>
      <c r="J1" s="3389"/>
      <c r="K1" s="3389"/>
      <c r="L1" s="3389"/>
      <c r="M1" s="3389"/>
      <c r="N1" s="3389"/>
      <c r="O1" s="3389"/>
      <c r="P1" s="3389"/>
      <c r="Q1" s="3389"/>
      <c r="R1" s="3389"/>
      <c r="S1" s="3390"/>
      <c r="T1" s="929" t="s">
        <v>2085</v>
      </c>
    </row>
    <row r="2" spans="1:45" s="625" customFormat="1" ht="25">
      <c r="A2" s="930"/>
      <c r="B2" s="622" t="s">
        <v>2086</v>
      </c>
      <c r="C2" s="14" t="str">
        <f t="shared" ref="C2:L2" si="0">C3&amp;"(含)"&amp;"-"&amp;D3</f>
        <v>0(含)-80</v>
      </c>
      <c r="D2" s="623" t="str">
        <f t="shared" si="0"/>
        <v>80(含)-120</v>
      </c>
      <c r="E2" s="623" t="str">
        <f t="shared" si="0"/>
        <v>120(含)-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80</v>
      </c>
      <c r="E3" s="628">
        <v>120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f ca="1">IF(D20="——",S22,S22-F20)</f>
        <v>809</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f ca="1">ROUND(B20*10000/B22,0)</f>
        <v>23396</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345.78999999999996</v>
      </c>
      <c r="C22" s="3385" t="s">
        <v>27</v>
      </c>
      <c r="D22" s="3386"/>
      <c r="E22" s="3386"/>
      <c r="F22" s="3386"/>
      <c r="G22" s="3386"/>
      <c r="H22" s="3386"/>
      <c r="I22" s="3386"/>
      <c r="J22" s="3386"/>
      <c r="K22" s="3386"/>
      <c r="L22" s="3386"/>
      <c r="M22" s="3386"/>
      <c r="N22" s="3386"/>
      <c r="O22" s="3386"/>
      <c r="P22" s="3386"/>
      <c r="Q22" s="3387"/>
      <c r="R22" s="21">
        <f ca="1">ROUND(S22*10000/B22,0)</f>
        <v>23396</v>
      </c>
      <c r="S22" s="21">
        <f ca="1">SUM(S24:S10000)</f>
        <v>809</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v>217</v>
      </c>
      <c r="B24" s="633">
        <f>'数据-基础表'!G19</f>
        <v>50.74</v>
      </c>
      <c r="C24" s="2571">
        <v>1</v>
      </c>
      <c r="D24" s="2572"/>
      <c r="E24" s="2571">
        <v>1</v>
      </c>
      <c r="F24" s="2572"/>
      <c r="G24" s="2571">
        <v>1</v>
      </c>
      <c r="H24" s="2572"/>
      <c r="I24" s="2571">
        <v>1</v>
      </c>
      <c r="J24" s="2572"/>
      <c r="K24" s="2571">
        <v>1</v>
      </c>
      <c r="L24" s="2572"/>
      <c r="M24" s="2571">
        <v>1</v>
      </c>
      <c r="N24" s="2572"/>
      <c r="O24" s="2571">
        <v>1</v>
      </c>
      <c r="P24" s="2572"/>
      <c r="Q24" s="2571">
        <v>1</v>
      </c>
      <c r="R24" s="633">
        <f ca="1">结果表!I118</f>
        <v>23508</v>
      </c>
      <c r="S24" s="634">
        <f t="shared" ref="S24:S54" ca="1" si="11">ROUND(R24*B24/10000,0)</f>
        <v>119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f>'数据-基础表'!C13</f>
        <v>208</v>
      </c>
      <c r="B25" s="52">
        <f>'数据-基础表'!G13</f>
        <v>37.619999999999997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23508</v>
      </c>
      <c r="S25" s="308">
        <f t="shared" ca="1" si="11"/>
        <v>88</v>
      </c>
    </row>
    <row r="26" spans="1:45" ht="13">
      <c r="A26" s="142">
        <f>'数据-基础表'!C14</f>
        <v>209</v>
      </c>
      <c r="B26" s="52">
        <f>'数据-基础表'!G14</f>
        <v>54.55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23508</v>
      </c>
      <c r="S26" s="308">
        <f t="shared" ca="1" si="11"/>
        <v>128</v>
      </c>
    </row>
    <row r="27" spans="1:45" ht="13">
      <c r="A27" s="142">
        <f>'数据-基础表'!C15</f>
        <v>210</v>
      </c>
      <c r="B27" s="52">
        <f>'数据-基础表'!G15</f>
        <v>54.55</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23508</v>
      </c>
      <c r="S27" s="308">
        <f t="shared" ca="1" si="11"/>
        <v>128</v>
      </c>
    </row>
    <row r="28" spans="1:45" ht="13">
      <c r="A28" s="142">
        <f>'数据-基础表'!C16</f>
        <v>211</v>
      </c>
      <c r="B28" s="52">
        <f>'数据-基础表'!G16</f>
        <v>23.32</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23508</v>
      </c>
      <c r="S28" s="308">
        <f t="shared" ca="1" si="11"/>
        <v>55</v>
      </c>
    </row>
    <row r="29" spans="1:45" ht="13">
      <c r="A29" s="142">
        <f>'数据-基础表'!C17</f>
        <v>212</v>
      </c>
      <c r="B29" s="52">
        <f>'数据-基础表'!G17</f>
        <v>24.42</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23508</v>
      </c>
      <c r="S29" s="308">
        <f t="shared" ca="1" si="11"/>
        <v>57</v>
      </c>
    </row>
    <row r="30" spans="1:45" ht="13">
      <c r="A30" s="142">
        <f>'数据-基础表'!C18</f>
        <v>215</v>
      </c>
      <c r="B30" s="52">
        <f>'数据-基础表'!G18</f>
        <v>100.59</v>
      </c>
      <c r="C30" s="21">
        <f t="shared" si="12"/>
        <v>0.99</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23273</v>
      </c>
      <c r="S30" s="308">
        <f t="shared" ca="1" si="11"/>
        <v>234</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6E64D-A946-4924-9F3F-3D8522AD1C87}">
  <sheetPr>
    <tabColor rgb="FF7030A0"/>
  </sheetPr>
  <dimension ref="A1:D8"/>
  <sheetViews>
    <sheetView workbookViewId="0">
      <selection activeCell="B13" sqref="B13"/>
    </sheetView>
  </sheetViews>
  <sheetFormatPr defaultRowHeight="14"/>
  <sheetData>
    <row r="1" spans="1:4">
      <c r="A1" s="1405" t="s">
        <v>3416</v>
      </c>
      <c r="B1" s="1405" t="s">
        <v>3386</v>
      </c>
    </row>
    <row r="2" spans="1:4">
      <c r="A2">
        <v>208</v>
      </c>
      <c r="B2">
        <v>37.619999999999997</v>
      </c>
    </row>
    <row r="3" spans="1:4">
      <c r="A3">
        <v>209</v>
      </c>
      <c r="B3">
        <v>54.55</v>
      </c>
    </row>
    <row r="4" spans="1:4">
      <c r="A4">
        <v>210</v>
      </c>
      <c r="B4">
        <v>54.55</v>
      </c>
      <c r="D4" s="1405" t="s">
        <v>2811</v>
      </c>
    </row>
    <row r="5" spans="1:4">
      <c r="A5">
        <v>211</v>
      </c>
      <c r="B5">
        <v>23.32</v>
      </c>
    </row>
    <row r="6" spans="1:4">
      <c r="A6">
        <v>212</v>
      </c>
      <c r="B6">
        <v>24.42</v>
      </c>
    </row>
    <row r="7" spans="1:4">
      <c r="A7">
        <v>215</v>
      </c>
      <c r="B7">
        <v>100.59</v>
      </c>
    </row>
    <row r="8" spans="1:4">
      <c r="A8">
        <v>217</v>
      </c>
      <c r="B8">
        <v>50.74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751EF-ECCF-40E6-8263-1B88C0E59F1C}">
  <sheetPr>
    <tabColor rgb="FF7030A0"/>
  </sheetPr>
  <dimension ref="R1:R7"/>
  <sheetViews>
    <sheetView workbookViewId="0">
      <selection activeCell="V5" sqref="V5"/>
    </sheetView>
  </sheetViews>
  <sheetFormatPr defaultRowHeight="14"/>
  <sheetData>
    <row r="1" spans="18:18">
      <c r="R1" s="1405" t="s">
        <v>3451</v>
      </c>
    </row>
    <row r="3" spans="18:18">
      <c r="R3" s="1405" t="s">
        <v>3452</v>
      </c>
    </row>
    <row r="7" spans="18:18">
      <c r="R7" s="1405" t="s">
        <v>3453</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3356</v>
      </c>
      <c r="E2" s="3140"/>
      <c r="F2" s="2598"/>
      <c r="G2" s="2599"/>
      <c r="H2" s="2600"/>
      <c r="I2" s="2601"/>
      <c r="J2" s="3397" t="s">
        <v>2316</v>
      </c>
      <c r="K2" s="3398"/>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99" t="s">
        <v>2326</v>
      </c>
      <c r="K3" s="3400"/>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99" t="s">
        <v>2328</v>
      </c>
      <c r="K4" s="3400"/>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405" t="s">
        <v>2332</v>
      </c>
      <c r="B6" s="3406"/>
      <c r="C6" s="3407"/>
      <c r="D6" s="2622"/>
      <c r="E6" s="2623"/>
      <c r="F6" s="2624"/>
      <c r="G6" s="2625"/>
      <c r="H6" s="2600"/>
      <c r="I6" s="2601"/>
      <c r="J6" s="3391">
        <v>1</v>
      </c>
      <c r="K6" s="3392"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91"/>
      <c r="K7" s="3393"/>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408" t="s">
        <v>2346</v>
      </c>
      <c r="C8" s="3409"/>
      <c r="D8" s="2641" t="s">
        <v>2347</v>
      </c>
      <c r="E8" s="2642" t="s">
        <v>2348</v>
      </c>
      <c r="F8" s="2643" t="s">
        <v>2349</v>
      </c>
      <c r="G8" s="2644"/>
      <c r="H8" s="2600"/>
      <c r="I8" s="2601"/>
      <c r="J8" s="3391"/>
      <c r="K8" s="3393"/>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408" t="s">
        <v>2352</v>
      </c>
      <c r="C9" s="3409"/>
      <c r="D9" s="2641">
        <f>ROUND(D6*E9,0)</f>
        <v>0</v>
      </c>
      <c r="E9" s="2645"/>
      <c r="F9" s="2646" t="s">
        <v>2353</v>
      </c>
      <c r="G9" s="2625"/>
      <c r="H9" s="2600"/>
      <c r="I9" s="2601"/>
      <c r="J9" s="3391"/>
      <c r="K9" s="3393"/>
      <c r="L9" s="2635" t="s">
        <v>2354</v>
      </c>
      <c r="M9" s="2636"/>
      <c r="N9" s="2612"/>
      <c r="O9" s="2637"/>
      <c r="P9" s="2637"/>
      <c r="Q9" s="2638">
        <v>365</v>
      </c>
      <c r="R9" s="2639">
        <f t="shared" si="0"/>
        <v>0</v>
      </c>
      <c r="S9" s="2593"/>
      <c r="T9" s="2593"/>
      <c r="U9" s="2593"/>
      <c r="V9" s="2601"/>
    </row>
    <row r="10" spans="1:22" s="2605" customFormat="1" ht="13.15" customHeight="1">
      <c r="A10" s="2640">
        <v>2</v>
      </c>
      <c r="B10" s="3408" t="s">
        <v>2355</v>
      </c>
      <c r="C10" s="3409"/>
      <c r="D10" s="2641">
        <f>ROUND(D6*E10,0)</f>
        <v>0</v>
      </c>
      <c r="E10" s="2645"/>
      <c r="F10" s="2646" t="s">
        <v>2356</v>
      </c>
      <c r="G10" s="2625"/>
      <c r="H10" s="2600"/>
      <c r="I10" s="2601"/>
      <c r="J10" s="3391"/>
      <c r="K10" s="3393"/>
      <c r="L10" s="2635" t="s">
        <v>2357</v>
      </c>
      <c r="M10" s="2636"/>
      <c r="N10" s="2612"/>
      <c r="O10" s="2637"/>
      <c r="P10" s="2637"/>
      <c r="Q10" s="2638">
        <v>365</v>
      </c>
      <c r="R10" s="2639">
        <f t="shared" si="0"/>
        <v>0</v>
      </c>
      <c r="S10" s="2593"/>
      <c r="T10" s="2593"/>
      <c r="U10" s="2593"/>
      <c r="V10" s="2601"/>
    </row>
    <row r="11" spans="1:22" s="2605" customFormat="1" ht="13.15" customHeight="1">
      <c r="A11" s="2640">
        <v>3</v>
      </c>
      <c r="B11" s="3408" t="s">
        <v>2358</v>
      </c>
      <c r="C11" s="3409"/>
      <c r="D11" s="2641">
        <f>D12+D14+D15+D16</f>
        <v>0</v>
      </c>
      <c r="E11" s="2647" t="e">
        <f>D11/D6</f>
        <v>#DIV/0!</v>
      </c>
      <c r="F11" s="2643"/>
      <c r="G11" s="2644"/>
      <c r="H11" s="2600"/>
      <c r="I11" s="2601"/>
      <c r="J11" s="3391"/>
      <c r="K11" s="3393"/>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401" t="s">
        <v>2361</v>
      </c>
      <c r="C12" s="3402"/>
      <c r="D12" s="2649">
        <f>ROUND(D13*1.2%*(1-30%),0)</f>
        <v>0</v>
      </c>
      <c r="E12" s="2650">
        <v>1.2E-2</v>
      </c>
      <c r="F12" s="2643" t="s">
        <v>2362</v>
      </c>
      <c r="G12" s="2644"/>
      <c r="H12" s="2600"/>
      <c r="I12" s="2601"/>
      <c r="J12" s="3391"/>
      <c r="K12" s="3393"/>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91"/>
      <c r="K13" s="3393"/>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401" t="s">
        <v>2367</v>
      </c>
      <c r="C14" s="3402"/>
      <c r="D14" s="2649">
        <f>ROUND(E14*B5/10000,0)</f>
        <v>0</v>
      </c>
      <c r="E14" s="2638"/>
      <c r="F14" s="2643" t="s">
        <v>2368</v>
      </c>
      <c r="G14" s="2644"/>
      <c r="H14" s="2600"/>
      <c r="I14" s="2601"/>
      <c r="J14" s="3391"/>
      <c r="K14" s="3394"/>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401" t="s">
        <v>2371</v>
      </c>
      <c r="C15" s="3402"/>
      <c r="D15" s="2649">
        <f>ROUND(D6*E15,0)</f>
        <v>0</v>
      </c>
      <c r="E15" s="2650">
        <v>5.5E-2</v>
      </c>
      <c r="F15" s="2643" t="s">
        <v>2372</v>
      </c>
      <c r="G15" s="2625"/>
      <c r="H15" s="2600"/>
      <c r="I15" s="2601"/>
      <c r="J15" s="3391">
        <v>2</v>
      </c>
      <c r="K15" s="3392"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401" t="s">
        <v>2380</v>
      </c>
      <c r="C16" s="3402"/>
      <c r="D16" s="2660">
        <f>D6*E16</f>
        <v>0</v>
      </c>
      <c r="E16" s="2661"/>
      <c r="F16" s="2646" t="s">
        <v>2381</v>
      </c>
      <c r="G16" s="2625"/>
      <c r="H16" s="2600"/>
      <c r="I16" s="2601"/>
      <c r="J16" s="3391"/>
      <c r="K16" s="3393"/>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403" t="s">
        <v>2383</v>
      </c>
      <c r="C17" s="3404"/>
      <c r="D17" s="2663">
        <f>ROUND(D6*E17,0)</f>
        <v>0</v>
      </c>
      <c r="E17" s="2664"/>
      <c r="F17" s="2665" t="s">
        <v>2384</v>
      </c>
      <c r="G17" s="2625"/>
      <c r="H17" s="2600"/>
      <c r="I17" s="2601"/>
      <c r="J17" s="3391"/>
      <c r="K17" s="3393"/>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91"/>
      <c r="K18" s="3393"/>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91"/>
      <c r="K19" s="3394"/>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1">
        <v>3</v>
      </c>
      <c r="K20" s="3392"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91"/>
      <c r="K21" s="3393"/>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91"/>
      <c r="K22" s="3393"/>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91"/>
      <c r="K23" s="3393"/>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91"/>
      <c r="K24" s="3394"/>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95">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9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97" t="s">
        <v>2316</v>
      </c>
      <c r="K32" s="3398"/>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99" t="s">
        <v>2326</v>
      </c>
      <c r="K33" s="3400"/>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99" t="s">
        <v>2328</v>
      </c>
      <c r="K34" s="340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91">
        <v>1</v>
      </c>
      <c r="K36" s="3392"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91"/>
      <c r="K37" s="3393"/>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1"/>
      <c r="K38" s="3393"/>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91"/>
      <c r="K39" s="3393"/>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91"/>
      <c r="K40" s="3394"/>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5">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9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106.5484</v>
      </c>
      <c r="C2" s="1729" t="s">
        <v>1651</v>
      </c>
      <c r="D2" s="1730" t="s">
        <v>1652</v>
      </c>
      <c r="E2" s="2393">
        <f>SUM(E6:E13)</f>
        <v>50.74</v>
      </c>
      <c r="F2" s="2480"/>
      <c r="G2" s="459"/>
      <c r="H2" s="459"/>
      <c r="I2" s="459"/>
      <c r="J2" s="459"/>
      <c r="K2" s="459"/>
      <c r="L2" s="459"/>
      <c r="M2" s="459"/>
      <c r="N2" s="459"/>
      <c r="O2" s="459"/>
      <c r="P2" s="459"/>
      <c r="Q2" s="459"/>
      <c r="R2" s="459"/>
      <c r="S2" s="459"/>
    </row>
    <row r="3" spans="1:22" ht="15.5">
      <c r="A3" s="1728" t="s">
        <v>686</v>
      </c>
      <c r="B3" s="2387">
        <f ca="1">ROUND(B2*10000/E2,0)</f>
        <v>20999</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10" t="s">
        <v>1654</v>
      </c>
      <c r="C5" s="3411"/>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106.5484</v>
      </c>
      <c r="C6" s="1729" t="s">
        <v>1651</v>
      </c>
      <c r="D6" s="2480"/>
      <c r="E6" s="2392">
        <f>IF(OR(A6=0,F6="否"),0,'数据-取费表'!K6+'数据-取费表'!S6)</f>
        <v>50.74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估价对象为北京市房地产，为所有。根据《国有土地使用证》[]，估价对象（分摊）出让国有建设用地使用权面积为0平方米，建筑面积为50.74平方米。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估价对象为北京市房地产,属开发建设的办公项目，该项目尚在开发建设中。根据《国有土地使用证》[]，估价对象（分摊）出让国有建设用地使用权面积为0平方米，规划建筑面积为50.74平方米。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50.74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30" t="s">
        <v>1667</v>
      </c>
      <c r="D4" s="3431"/>
      <c r="E4" s="3432" t="s">
        <v>1668</v>
      </c>
      <c r="F4" s="3433"/>
      <c r="G4" s="3430" t="s">
        <v>1669</v>
      </c>
      <c r="H4" s="3431"/>
      <c r="I4" s="3430" t="s">
        <v>1670</v>
      </c>
      <c r="J4" s="3431"/>
      <c r="K4" s="1744" t="s">
        <v>1671</v>
      </c>
      <c r="L4" s="2487"/>
      <c r="M4" s="2488"/>
      <c r="N4" s="2488"/>
      <c r="O4" s="2488"/>
      <c r="P4" s="3434" t="s">
        <v>1672</v>
      </c>
      <c r="Q4" s="3435"/>
      <c r="R4" s="3440" t="s">
        <v>1668</v>
      </c>
      <c r="S4" s="3441"/>
      <c r="T4" s="3440" t="s">
        <v>1669</v>
      </c>
      <c r="U4" s="3441"/>
      <c r="V4" s="3416" t="s">
        <v>1670</v>
      </c>
      <c r="W4" s="3416"/>
      <c r="X4" s="1265"/>
      <c r="Y4" s="3440" t="s">
        <v>1672</v>
      </c>
      <c r="Z4" s="3441"/>
      <c r="AA4" s="3427" t="s">
        <v>1668</v>
      </c>
      <c r="AB4" s="3427" t="s">
        <v>1669</v>
      </c>
      <c r="AC4" s="3427" t="s">
        <v>1670</v>
      </c>
    </row>
    <row r="5" spans="1:29">
      <c r="A5" s="348"/>
      <c r="B5" s="349"/>
      <c r="C5" s="3448" t="s">
        <v>1673</v>
      </c>
      <c r="D5" s="3449"/>
      <c r="E5" s="3455" t="s">
        <v>1674</v>
      </c>
      <c r="F5" s="3456"/>
      <c r="G5" s="3448" t="s">
        <v>1675</v>
      </c>
      <c r="H5" s="3449"/>
      <c r="I5" s="3448" t="s">
        <v>1676</v>
      </c>
      <c r="J5" s="3449"/>
      <c r="K5" s="1745"/>
      <c r="L5" s="2487"/>
      <c r="M5" s="2488"/>
      <c r="N5" s="2488"/>
      <c r="O5" s="2488"/>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1745" t="s">
        <v>1678</v>
      </c>
      <c r="L6" s="2487"/>
      <c r="M6" s="2488"/>
      <c r="N6" s="2488"/>
      <c r="O6" s="2488"/>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0" t="s">
        <v>1680</v>
      </c>
      <c r="Q7" s="3452"/>
      <c r="R7" s="664" t="s">
        <v>20</v>
      </c>
      <c r="S7" s="665">
        <f t="shared" ref="S7:S15" si="0">F7</f>
        <v>0</v>
      </c>
      <c r="T7" s="664" t="s">
        <v>20</v>
      </c>
      <c r="U7" s="665">
        <f t="shared" ref="U7:U15" si="1">H7</f>
        <v>0</v>
      </c>
      <c r="V7" s="664" t="s">
        <v>20</v>
      </c>
      <c r="W7" s="665">
        <f t="shared" ref="W7:W15" si="2">J7</f>
        <v>0</v>
      </c>
      <c r="X7" s="666"/>
      <c r="Y7" s="3450" t="s">
        <v>1680</v>
      </c>
      <c r="Z7" s="345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0" t="s">
        <v>1683</v>
      </c>
      <c r="Q8" s="3451"/>
      <c r="R8" s="664" t="s">
        <v>20</v>
      </c>
      <c r="S8" s="665">
        <f t="shared" si="0"/>
        <v>100</v>
      </c>
      <c r="T8" s="664" t="s">
        <v>20</v>
      </c>
      <c r="U8" s="665">
        <f t="shared" si="1"/>
        <v>100</v>
      </c>
      <c r="V8" s="664" t="s">
        <v>20</v>
      </c>
      <c r="W8" s="665">
        <f t="shared" si="2"/>
        <v>100</v>
      </c>
      <c r="X8" s="666"/>
      <c r="Y8" s="3450" t="s">
        <v>1683</v>
      </c>
      <c r="Z8" s="345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6"/>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6"/>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6"/>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6"/>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25"/>
      <c r="Q16" s="1263"/>
      <c r="R16" s="667"/>
      <c r="S16" s="668"/>
      <c r="T16" s="667"/>
      <c r="U16" s="668"/>
      <c r="V16" s="667"/>
      <c r="W16" s="668"/>
      <c r="X16" s="1265"/>
      <c r="Y16" s="341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25"/>
      <c r="Q18" s="1263"/>
      <c r="R18" s="667"/>
      <c r="S18" s="668"/>
      <c r="T18" s="667"/>
      <c r="U18" s="668"/>
      <c r="V18" s="667"/>
      <c r="W18" s="668"/>
      <c r="X18" s="1265"/>
      <c r="Y18" s="341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25"/>
      <c r="Q20" s="1263"/>
      <c r="R20" s="667"/>
      <c r="S20" s="668"/>
      <c r="T20" s="667"/>
      <c r="U20" s="668"/>
      <c r="V20" s="667"/>
      <c r="W20" s="668"/>
      <c r="X20" s="1265"/>
      <c r="Y20" s="341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25"/>
      <c r="Q22" s="1263"/>
      <c r="R22" s="667"/>
      <c r="S22" s="668"/>
      <c r="T22" s="667"/>
      <c r="U22" s="668"/>
      <c r="V22" s="667"/>
      <c r="W22" s="668"/>
      <c r="X22" s="1265"/>
      <c r="Y22" s="341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25"/>
      <c r="Q24" s="1263"/>
      <c r="R24" s="667"/>
      <c r="S24" s="668"/>
      <c r="T24" s="667"/>
      <c r="U24" s="668"/>
      <c r="V24" s="667"/>
      <c r="W24" s="668"/>
      <c r="X24" s="1265"/>
      <c r="Y24" s="341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4.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50.74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30" t="s">
        <v>1770</v>
      </c>
      <c r="D4" s="3431"/>
      <c r="E4" s="3432" t="s">
        <v>1771</v>
      </c>
      <c r="F4" s="3433"/>
      <c r="G4" s="3430" t="s">
        <v>1772</v>
      </c>
      <c r="H4" s="3431"/>
      <c r="I4" s="3430" t="s">
        <v>1773</v>
      </c>
      <c r="J4" s="3431"/>
      <c r="K4" s="537" t="s">
        <v>1774</v>
      </c>
      <c r="L4" s="2487"/>
      <c r="M4" s="2488"/>
      <c r="N4" s="2488"/>
      <c r="O4" s="2488"/>
      <c r="P4" s="3434" t="s">
        <v>1775</v>
      </c>
      <c r="Q4" s="3435"/>
      <c r="R4" s="3440" t="s">
        <v>1771</v>
      </c>
      <c r="S4" s="3441"/>
      <c r="T4" s="3440" t="s">
        <v>1772</v>
      </c>
      <c r="U4" s="3441"/>
      <c r="V4" s="3416" t="s">
        <v>1773</v>
      </c>
      <c r="W4" s="3416"/>
      <c r="X4" s="1265"/>
      <c r="Y4" s="3440" t="s">
        <v>1775</v>
      </c>
      <c r="Z4" s="3441"/>
      <c r="AA4" s="3427" t="s">
        <v>1771</v>
      </c>
      <c r="AB4" s="3416" t="s">
        <v>1772</v>
      </c>
      <c r="AC4" s="3427" t="s">
        <v>1773</v>
      </c>
    </row>
    <row r="5" spans="1:29">
      <c r="A5" s="348"/>
      <c r="B5" s="349"/>
      <c r="C5" s="3448" t="s">
        <v>1673</v>
      </c>
      <c r="D5" s="3449"/>
      <c r="E5" s="3455" t="s">
        <v>1674</v>
      </c>
      <c r="F5" s="3456"/>
      <c r="G5" s="3448" t="s">
        <v>1675</v>
      </c>
      <c r="H5" s="3449"/>
      <c r="I5" s="3448" t="s">
        <v>1676</v>
      </c>
      <c r="J5" s="3449"/>
      <c r="K5" s="537"/>
      <c r="L5" s="2487"/>
      <c r="M5" s="2488"/>
      <c r="N5" s="2488"/>
      <c r="O5" s="2488"/>
      <c r="P5" s="3436"/>
      <c r="Q5" s="3437"/>
      <c r="R5" s="3442"/>
      <c r="S5" s="3443"/>
      <c r="T5" s="3442"/>
      <c r="U5" s="3443"/>
      <c r="V5" s="3416"/>
      <c r="W5" s="3416"/>
      <c r="X5" s="1265"/>
      <c r="Y5" s="3442"/>
      <c r="Z5" s="3443"/>
      <c r="AA5" s="3428"/>
      <c r="AB5" s="3416"/>
      <c r="AC5" s="3428"/>
    </row>
    <row r="6" spans="1:29" ht="15" thickBot="1">
      <c r="A6" s="350"/>
      <c r="B6" s="351"/>
      <c r="C6" s="3446" t="s">
        <v>1677</v>
      </c>
      <c r="D6" s="3447"/>
      <c r="E6" s="3453" t="s">
        <v>1677</v>
      </c>
      <c r="F6" s="3454"/>
      <c r="G6" s="3446" t="s">
        <v>1677</v>
      </c>
      <c r="H6" s="3447"/>
      <c r="I6" s="3446" t="s">
        <v>1677</v>
      </c>
      <c r="J6" s="3447"/>
      <c r="K6" s="537" t="s">
        <v>1678</v>
      </c>
      <c r="L6" s="2487"/>
      <c r="M6" s="2488"/>
      <c r="N6" s="2488"/>
      <c r="O6" s="2488"/>
      <c r="P6" s="3438"/>
      <c r="Q6" s="3439"/>
      <c r="R6" s="3442"/>
      <c r="S6" s="3443"/>
      <c r="T6" s="3444"/>
      <c r="U6" s="3445"/>
      <c r="V6" s="3416"/>
      <c r="W6" s="3416"/>
      <c r="X6" s="1265"/>
      <c r="Y6" s="3444"/>
      <c r="Z6" s="3445"/>
      <c r="AA6" s="3429"/>
      <c r="AB6" s="3416"/>
      <c r="AC6" s="3429"/>
    </row>
    <row r="7" spans="1:29" s="102" customFormat="1" ht="14.5" thickBot="1">
      <c r="A7" s="352" t="s">
        <v>1679</v>
      </c>
      <c r="B7" s="353"/>
      <c r="C7" s="354">
        <f>'数据-取费表'!B2</f>
        <v>46008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0" t="s">
        <v>1683</v>
      </c>
      <c r="Q8" s="3451"/>
      <c r="R8" s="664" t="s">
        <v>14</v>
      </c>
      <c r="S8" s="665">
        <f t="shared" si="0"/>
        <v>100</v>
      </c>
      <c r="T8" s="664" t="s">
        <v>14</v>
      </c>
      <c r="U8" s="665">
        <f t="shared" si="1"/>
        <v>100</v>
      </c>
      <c r="V8" s="664" t="s">
        <v>14</v>
      </c>
      <c r="W8" s="665">
        <f t="shared" si="2"/>
        <v>100</v>
      </c>
      <c r="X8" s="666"/>
      <c r="Y8" s="3450" t="s">
        <v>1683</v>
      </c>
      <c r="Z8" s="345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6"/>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6"/>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25"/>
      <c r="Q22" s="1263"/>
      <c r="R22" s="667"/>
      <c r="S22" s="668"/>
      <c r="T22" s="667"/>
      <c r="U22" s="668"/>
      <c r="V22" s="667"/>
      <c r="W22" s="668"/>
      <c r="X22" s="1265"/>
      <c r="Y22" s="341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4.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50.74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30" t="s">
        <v>1770</v>
      </c>
      <c r="D4" s="3431"/>
      <c r="E4" s="3432" t="s">
        <v>1771</v>
      </c>
      <c r="F4" s="3433"/>
      <c r="G4" s="3430" t="s">
        <v>1772</v>
      </c>
      <c r="H4" s="3431"/>
      <c r="I4" s="3430" t="s">
        <v>1773</v>
      </c>
      <c r="J4" s="3431"/>
      <c r="K4" s="537" t="s">
        <v>1774</v>
      </c>
      <c r="L4" s="860"/>
      <c r="M4" s="861"/>
      <c r="N4" s="861"/>
      <c r="O4" s="861"/>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860"/>
      <c r="M5" s="861"/>
      <c r="N5" s="861"/>
      <c r="O5" s="861"/>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860"/>
      <c r="M6" s="861"/>
      <c r="N6" s="861"/>
      <c r="O6" s="861"/>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SUMIF(52:52,YEAR(E7)&amp;"-"&amp;MONTH(E7),53:53)</f>
        <v>0</v>
      </c>
      <c r="G7" s="356"/>
      <c r="H7" s="355">
        <f>SUMIF(52:52,YEAR(G7)&amp;"-"&amp;MONTH(G7),53:53)</f>
        <v>0</v>
      </c>
      <c r="I7" s="356"/>
      <c r="J7" s="355">
        <f>SUMIF(52:52,YEAR(I7)&amp;"-"&amp;MONTH(I7),53:53)</f>
        <v>0</v>
      </c>
      <c r="K7" s="38"/>
      <c r="L7" s="862"/>
      <c r="M7" s="863"/>
      <c r="N7" s="863"/>
      <c r="O7" s="863"/>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0" t="s">
        <v>1683</v>
      </c>
      <c r="Q8" s="3451"/>
      <c r="R8" s="664" t="s">
        <v>14</v>
      </c>
      <c r="S8" s="665">
        <f t="shared" si="0"/>
        <v>100</v>
      </c>
      <c r="T8" s="664" t="s">
        <v>14</v>
      </c>
      <c r="U8" s="665">
        <f t="shared" si="1"/>
        <v>100</v>
      </c>
      <c r="V8" s="664" t="s">
        <v>14</v>
      </c>
      <c r="W8" s="665">
        <f t="shared" si="2"/>
        <v>100</v>
      </c>
      <c r="X8" s="666"/>
      <c r="Y8" s="3450" t="s">
        <v>1683</v>
      </c>
      <c r="Z8" s="345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6">
        <f>E41</f>
        <v>0</v>
      </c>
      <c r="S41" s="3416"/>
      <c r="T41" s="3416">
        <f>G41</f>
        <v>0</v>
      </c>
      <c r="U41" s="3416"/>
      <c r="V41" s="3416">
        <f>I41</f>
        <v>0</v>
      </c>
      <c r="W41" s="3416"/>
      <c r="X41" s="385"/>
      <c r="Y41" s="673"/>
      <c r="Z41" s="385"/>
      <c r="AA41" s="385"/>
      <c r="AB41" s="385"/>
      <c r="AC41" s="385"/>
    </row>
    <row r="42" spans="1:29" ht="14.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30" t="s">
        <v>1770</v>
      </c>
      <c r="D4" s="3431"/>
      <c r="E4" s="3432" t="s">
        <v>1771</v>
      </c>
      <c r="F4" s="3433"/>
      <c r="G4" s="3430" t="s">
        <v>1772</v>
      </c>
      <c r="H4" s="3431"/>
      <c r="I4" s="3430" t="s">
        <v>1773</v>
      </c>
      <c r="J4" s="3431"/>
      <c r="K4" s="537" t="s">
        <v>1774</v>
      </c>
      <c r="L4" s="2487"/>
      <c r="M4" s="2488"/>
      <c r="N4" s="2488"/>
      <c r="O4" s="2488"/>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7"/>
      <c r="M5" s="2488"/>
      <c r="N5" s="2488"/>
      <c r="O5" s="2488"/>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7"/>
      <c r="M6" s="2488"/>
      <c r="N6" s="2488"/>
      <c r="O6" s="2488"/>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50" t="s">
        <v>1680</v>
      </c>
      <c r="Q7" s="345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0" t="s">
        <v>1683</v>
      </c>
      <c r="Q8" s="3451"/>
      <c r="R8" s="664" t="s">
        <v>14</v>
      </c>
      <c r="S8" s="665">
        <f t="shared" si="0"/>
        <v>100</v>
      </c>
      <c r="T8" s="664" t="s">
        <v>14</v>
      </c>
      <c r="U8" s="665">
        <f t="shared" si="1"/>
        <v>100</v>
      </c>
      <c r="V8" s="664" t="s">
        <v>14</v>
      </c>
      <c r="W8" s="665">
        <f t="shared" si="2"/>
        <v>100</v>
      </c>
      <c r="X8" s="666"/>
      <c r="Y8" s="3450" t="s">
        <v>1683</v>
      </c>
      <c r="Z8" s="345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5"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5"/>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18"/>
      <c r="Q15" s="1263"/>
      <c r="R15" s="667"/>
      <c r="S15" s="668"/>
      <c r="T15" s="667"/>
      <c r="U15" s="668"/>
      <c r="V15" s="667"/>
      <c r="W15" s="668"/>
      <c r="X15" s="1265"/>
      <c r="Y15" s="341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18"/>
      <c r="Q17" s="1263"/>
      <c r="R17" s="667"/>
      <c r="S17" s="668"/>
      <c r="T17" s="667"/>
      <c r="U17" s="668"/>
      <c r="V17" s="667"/>
      <c r="W17" s="668"/>
      <c r="X17" s="1265"/>
      <c r="Y17" s="341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18"/>
      <c r="Q19" s="1263"/>
      <c r="R19" s="667"/>
      <c r="S19" s="668"/>
      <c r="T19" s="667"/>
      <c r="U19" s="668"/>
      <c r="V19" s="667"/>
      <c r="W19" s="668"/>
      <c r="X19" s="1265"/>
      <c r="Y19" s="341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18"/>
      <c r="Q21" s="1263"/>
      <c r="R21" s="667"/>
      <c r="S21" s="668"/>
      <c r="T21" s="667"/>
      <c r="U21" s="668"/>
      <c r="V21" s="667"/>
      <c r="W21" s="668"/>
      <c r="X21" s="1265"/>
      <c r="Y21" s="341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5"/>
      <c r="M37" s="2488"/>
      <c r="N37" s="2488"/>
      <c r="O37" s="2488"/>
      <c r="P37" s="3415" t="str">
        <f>A37</f>
        <v>成交单价</v>
      </c>
      <c r="Q37" s="3415"/>
      <c r="R37" s="3416">
        <f>E37</f>
        <v>0</v>
      </c>
      <c r="S37" s="3416"/>
      <c r="T37" s="3416">
        <f>G37</f>
        <v>0</v>
      </c>
      <c r="U37" s="3416"/>
      <c r="V37" s="3416">
        <f>I37</f>
        <v>0</v>
      </c>
      <c r="W37" s="3416"/>
      <c r="X37" s="385"/>
      <c r="Y37" s="673"/>
      <c r="Z37" s="385"/>
      <c r="AA37" s="385"/>
      <c r="AB37" s="385"/>
      <c r="AC37" s="385"/>
    </row>
    <row r="38" spans="1:29" ht="14.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12" t="str">
        <f>A39</f>
        <v>估价对象XX用房的比较价值（楼面单价，元/平方米）</v>
      </c>
      <c r="Q39" s="3413"/>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30" t="s">
        <v>1770</v>
      </c>
      <c r="D4" s="3431"/>
      <c r="E4" s="3432" t="s">
        <v>1771</v>
      </c>
      <c r="F4" s="3433"/>
      <c r="G4" s="3430" t="s">
        <v>1772</v>
      </c>
      <c r="H4" s="3431"/>
      <c r="I4" s="3430" t="s">
        <v>1773</v>
      </c>
      <c r="J4" s="3431"/>
      <c r="K4" s="537" t="s">
        <v>1774</v>
      </c>
      <c r="L4" s="2487"/>
      <c r="M4" s="2488"/>
      <c r="N4" s="2488"/>
      <c r="O4" s="2488"/>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7"/>
      <c r="M5" s="2488"/>
      <c r="N5" s="2488"/>
      <c r="O5" s="2488"/>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7"/>
      <c r="M6" s="2488"/>
      <c r="N6" s="2488"/>
      <c r="O6" s="2488"/>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50" t="s">
        <v>1680</v>
      </c>
      <c r="Q7" s="345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0" t="s">
        <v>1683</v>
      </c>
      <c r="Q8" s="3451"/>
      <c r="R8" s="664" t="s">
        <v>14</v>
      </c>
      <c r="S8" s="665">
        <f t="shared" si="0"/>
        <v>100</v>
      </c>
      <c r="T8" s="664" t="s">
        <v>14</v>
      </c>
      <c r="U8" s="665">
        <f t="shared" si="1"/>
        <v>100</v>
      </c>
      <c r="V8" s="664" t="s">
        <v>14</v>
      </c>
      <c r="W8" s="665">
        <f t="shared" si="2"/>
        <v>100</v>
      </c>
      <c r="X8" s="666"/>
      <c r="Y8" s="3450" t="s">
        <v>1683</v>
      </c>
      <c r="Z8" s="345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5"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5"/>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18"/>
      <c r="Q15" s="1263"/>
      <c r="R15" s="667"/>
      <c r="S15" s="668"/>
      <c r="T15" s="667"/>
      <c r="U15" s="668"/>
      <c r="V15" s="667"/>
      <c r="W15" s="668"/>
      <c r="X15" s="1265"/>
      <c r="Y15" s="341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18"/>
      <c r="Q17" s="1263"/>
      <c r="R17" s="667"/>
      <c r="S17" s="668"/>
      <c r="T17" s="667"/>
      <c r="U17" s="668"/>
      <c r="V17" s="667"/>
      <c r="W17" s="668"/>
      <c r="X17" s="1265"/>
      <c r="Y17" s="341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18"/>
      <c r="Q19" s="1263"/>
      <c r="R19" s="667"/>
      <c r="S19" s="668"/>
      <c r="T19" s="667"/>
      <c r="U19" s="668"/>
      <c r="V19" s="667"/>
      <c r="W19" s="668"/>
      <c r="X19" s="1265"/>
      <c r="Y19" s="341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18"/>
      <c r="Q21" s="1263"/>
      <c r="R21" s="667"/>
      <c r="S21" s="668"/>
      <c r="T21" s="667"/>
      <c r="U21" s="668"/>
      <c r="V21" s="667"/>
      <c r="W21" s="668"/>
      <c r="X21" s="1265"/>
      <c r="Y21" s="341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5" t="str">
        <f>A35</f>
        <v>成交单价（元/平方米）</v>
      </c>
      <c r="Q35" s="3415"/>
      <c r="R35" s="3416">
        <f>E35</f>
        <v>0</v>
      </c>
      <c r="S35" s="3416"/>
      <c r="T35" s="3416">
        <f>G35</f>
        <v>0</v>
      </c>
      <c r="U35" s="3416"/>
      <c r="V35" s="3416">
        <f>I35</f>
        <v>0</v>
      </c>
      <c r="W35" s="3416"/>
      <c r="X35" s="385"/>
      <c r="Y35" s="673"/>
      <c r="Z35" s="385"/>
      <c r="AA35" s="385"/>
      <c r="AB35" s="385"/>
      <c r="AC35" s="385"/>
    </row>
    <row r="36" spans="1:30" ht="14.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15" t="str">
        <f>A36</f>
        <v>比较价值（元/平方米）</v>
      </c>
      <c r="Q36" s="3415"/>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12" t="str">
        <f>A37</f>
        <v>估价对象XX用房的比较价值（楼面单价，元/平方米）</v>
      </c>
      <c r="Q37" s="3413"/>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30" t="s">
        <v>1770</v>
      </c>
      <c r="D4" s="3431"/>
      <c r="E4" s="3432" t="s">
        <v>1771</v>
      </c>
      <c r="F4" s="3433"/>
      <c r="G4" s="3430" t="s">
        <v>1772</v>
      </c>
      <c r="H4" s="3431"/>
      <c r="I4" s="3430" t="s">
        <v>1773</v>
      </c>
      <c r="J4" s="3431"/>
      <c r="K4" s="537" t="s">
        <v>1774</v>
      </c>
      <c r="L4" s="2487"/>
      <c r="M4" s="2488"/>
      <c r="N4" s="2488"/>
      <c r="O4" s="2488"/>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7"/>
      <c r="M5" s="2488"/>
      <c r="N5" s="2488"/>
      <c r="O5" s="2488"/>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7"/>
      <c r="M6" s="2488"/>
      <c r="N6" s="2488"/>
      <c r="O6" s="2488"/>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50" t="s">
        <v>1683</v>
      </c>
      <c r="Q8" s="3451"/>
      <c r="R8" s="664" t="s">
        <v>14</v>
      </c>
      <c r="S8" s="665">
        <f t="shared" si="0"/>
        <v>0</v>
      </c>
      <c r="T8" s="664" t="s">
        <v>14</v>
      </c>
      <c r="U8" s="665">
        <f t="shared" si="1"/>
        <v>0</v>
      </c>
      <c r="V8" s="664" t="s">
        <v>14</v>
      </c>
      <c r="W8" s="665">
        <f t="shared" si="2"/>
        <v>0</v>
      </c>
      <c r="X8" s="666"/>
      <c r="Y8" s="3450" t="s">
        <v>1683</v>
      </c>
      <c r="Z8" s="345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135</v>
      </c>
      <c r="G10" s="402"/>
      <c r="H10" s="119">
        <f>ROUND(100/'数据-取费表'!G16,0)</f>
        <v>135</v>
      </c>
      <c r="I10" s="402"/>
      <c r="J10" s="119">
        <f>ROUND(100/'数据-取费表'!G16,0)</f>
        <v>135</v>
      </c>
      <c r="K10" s="592"/>
      <c r="L10" s="2490"/>
      <c r="M10" s="2491"/>
      <c r="N10" s="2491"/>
      <c r="O10" s="2542"/>
      <c r="P10" s="3415"/>
      <c r="Q10" s="530" t="str">
        <f t="shared" si="6"/>
        <v>土地使用年限（年）</v>
      </c>
      <c r="R10" s="664" t="s">
        <v>14</v>
      </c>
      <c r="S10" s="665">
        <f t="shared" si="0"/>
        <v>135</v>
      </c>
      <c r="T10" s="664" t="s">
        <v>14</v>
      </c>
      <c r="U10" s="665">
        <f t="shared" si="1"/>
        <v>135</v>
      </c>
      <c r="V10" s="664" t="s">
        <v>14</v>
      </c>
      <c r="W10" s="665">
        <f t="shared" si="2"/>
        <v>135</v>
      </c>
      <c r="X10" s="666"/>
      <c r="Y10" s="3265"/>
      <c r="Z10" s="50" t="str">
        <f t="shared" si="7"/>
        <v>土地使用年限（年）</v>
      </c>
      <c r="AA10" s="50">
        <f t="shared" si="3"/>
        <v>0.7407407407407407</v>
      </c>
      <c r="AB10" s="50">
        <f t="shared" si="4"/>
        <v>0.7407407407407407</v>
      </c>
      <c r="AC10" s="50">
        <f t="shared" si="5"/>
        <v>0.7407407407407407</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5"/>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5"/>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5"/>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5"/>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18"/>
      <c r="Q20" s="1263"/>
      <c r="R20" s="667"/>
      <c r="S20" s="668"/>
      <c r="T20" s="667"/>
      <c r="U20" s="668"/>
      <c r="V20" s="667"/>
      <c r="W20" s="668"/>
      <c r="X20" s="1265"/>
      <c r="Y20" s="341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18"/>
      <c r="Q24" s="1263"/>
      <c r="R24" s="667"/>
      <c r="S24" s="668"/>
      <c r="T24" s="667"/>
      <c r="U24" s="668"/>
      <c r="V24" s="667"/>
      <c r="W24" s="668"/>
      <c r="X24" s="1265"/>
      <c r="Y24" s="341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18"/>
      <c r="Q26" s="1263"/>
      <c r="R26" s="667"/>
      <c r="S26" s="668"/>
      <c r="T26" s="667"/>
      <c r="U26" s="668"/>
      <c r="V26" s="667"/>
      <c r="W26" s="668"/>
      <c r="X26" s="1265"/>
      <c r="Y26" s="341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18"/>
      <c r="Q28" s="530"/>
      <c r="R28" s="664"/>
      <c r="S28" s="665"/>
      <c r="T28" s="664"/>
      <c r="U28" s="665"/>
      <c r="V28" s="664"/>
      <c r="W28" s="665"/>
      <c r="X28" s="666"/>
      <c r="Y28" s="341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18"/>
      <c r="Q30" s="530"/>
      <c r="R30" s="664"/>
      <c r="S30" s="665"/>
      <c r="T30" s="664"/>
      <c r="U30" s="665"/>
      <c r="V30" s="664"/>
      <c r="W30" s="665"/>
      <c r="X30" s="666"/>
      <c r="Y30" s="341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18"/>
      <c r="Q33" s="1263"/>
      <c r="R33" s="667"/>
      <c r="S33" s="668"/>
      <c r="T33" s="667"/>
      <c r="U33" s="668"/>
      <c r="V33" s="667"/>
      <c r="W33" s="668"/>
      <c r="X33" s="1265"/>
      <c r="Y33" s="341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7"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5" t="str">
        <f>A46</f>
        <v>成交单价</v>
      </c>
      <c r="Q46" s="3415"/>
      <c r="R46" s="3416">
        <f>E46</f>
        <v>0</v>
      </c>
      <c r="S46" s="3416"/>
      <c r="T46" s="3416">
        <f>G46</f>
        <v>0</v>
      </c>
      <c r="U46" s="3416"/>
      <c r="V46" s="3416">
        <f>I46</f>
        <v>0</v>
      </c>
      <c r="W46" s="3416"/>
      <c r="X46" s="385"/>
      <c r="Y46" s="673"/>
      <c r="Z46" s="385"/>
      <c r="AA46" s="385"/>
      <c r="AB46" s="385"/>
      <c r="AC46" s="385"/>
    </row>
    <row r="47" spans="1:29" ht="14.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15" t="str">
        <f>A47</f>
        <v>比较价值（元/平方米）</v>
      </c>
      <c r="Q47" s="3415"/>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12" t="str">
        <f>A48</f>
        <v>估价对象XX用房的比较价值（楼面单价，元/平方米）</v>
      </c>
      <c r="Q48" s="3413"/>
      <c r="R48" s="3460" t="e">
        <f>ROUND(IF(D47="简单平均",AVERAGE(R47:W47),R47*F47+T47*H47+V47*J47),0)</f>
        <v>#DIV/0!</v>
      </c>
      <c r="S48" s="3460"/>
      <c r="T48" s="3460"/>
      <c r="U48" s="3460"/>
      <c r="V48" s="3460"/>
      <c r="W48" s="346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0" t="s">
        <v>1887</v>
      </c>
      <c r="H55" s="346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50.74</v>
      </c>
      <c r="F56" s="833" t="e">
        <f t="shared" ref="F56:F64" si="15">ROUND(B56*E56/10000,0)</f>
        <v>#DIV/0!</v>
      </c>
      <c r="G56" s="3426"/>
      <c r="H56" s="341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SUMIF(修正!A59:A70,H60,修正!E59:E70)</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SUMIF(修正!A59:A70,H64,修正!G59:G70)</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50.74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30" t="s">
        <v>1770</v>
      </c>
      <c r="D4" s="3431"/>
      <c r="E4" s="3432" t="s">
        <v>1771</v>
      </c>
      <c r="F4" s="3433"/>
      <c r="G4" s="3430" t="s">
        <v>1772</v>
      </c>
      <c r="H4" s="3431"/>
      <c r="I4" s="3430" t="s">
        <v>1773</v>
      </c>
      <c r="J4" s="3431"/>
      <c r="K4" s="537" t="s">
        <v>1774</v>
      </c>
      <c r="L4" s="2487"/>
      <c r="M4" s="2488"/>
      <c r="N4" s="2488"/>
      <c r="O4" s="2488"/>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7"/>
      <c r="M5" s="2488"/>
      <c r="N5" s="2488"/>
      <c r="O5" s="2488"/>
      <c r="P5" s="3436"/>
      <c r="Q5" s="3437"/>
      <c r="R5" s="3442"/>
      <c r="S5" s="3443"/>
      <c r="T5" s="3442"/>
      <c r="U5" s="3443"/>
      <c r="V5" s="3416"/>
      <c r="W5" s="3416"/>
      <c r="X5" s="1265"/>
      <c r="Y5" s="3442"/>
      <c r="Z5" s="3443"/>
      <c r="AA5" s="3428"/>
      <c r="AB5" s="3428"/>
      <c r="AC5" s="3428"/>
    </row>
    <row r="6" spans="1:29" ht="15" thickBot="1">
      <c r="A6" s="350"/>
      <c r="B6" s="351"/>
      <c r="C6" s="3462" t="s">
        <v>1919</v>
      </c>
      <c r="D6" s="3463"/>
      <c r="E6" s="3464" t="s">
        <v>1919</v>
      </c>
      <c r="F6" s="3465"/>
      <c r="G6" s="3462" t="s">
        <v>1919</v>
      </c>
      <c r="H6" s="3463"/>
      <c r="I6" s="3462" t="s">
        <v>1919</v>
      </c>
      <c r="J6" s="3463"/>
      <c r="K6" s="537" t="s">
        <v>1678</v>
      </c>
      <c r="L6" s="2487"/>
      <c r="M6" s="2488"/>
      <c r="N6" s="2488"/>
      <c r="O6" s="2488"/>
      <c r="P6" s="3438"/>
      <c r="Q6" s="3439"/>
      <c r="R6" s="3442"/>
      <c r="S6" s="3443"/>
      <c r="T6" s="3444"/>
      <c r="U6" s="3445"/>
      <c r="V6" s="3416"/>
      <c r="W6" s="3416"/>
      <c r="X6" s="1265"/>
      <c r="Y6" s="3444"/>
      <c r="Z6" s="3445"/>
      <c r="AA6" s="3429"/>
      <c r="AB6" s="3429"/>
      <c r="AC6" s="3429"/>
    </row>
    <row r="7" spans="1:29" s="102" customFormat="1" ht="14.5" thickBot="1">
      <c r="A7" s="352" t="s">
        <v>1679</v>
      </c>
      <c r="B7" s="353"/>
      <c r="C7" s="354">
        <f>'数据-取费表'!B2</f>
        <v>46008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0" t="s">
        <v>1683</v>
      </c>
      <c r="Q8" s="3451"/>
      <c r="R8" s="664" t="s">
        <v>14</v>
      </c>
      <c r="S8" s="665">
        <f t="shared" si="0"/>
        <v>0</v>
      </c>
      <c r="T8" s="664" t="s">
        <v>14</v>
      </c>
      <c r="U8" s="665">
        <f t="shared" si="1"/>
        <v>0</v>
      </c>
      <c r="V8" s="664" t="s">
        <v>14</v>
      </c>
      <c r="W8" s="665">
        <f t="shared" si="2"/>
        <v>0</v>
      </c>
      <c r="X8" s="666"/>
      <c r="Y8" s="3450" t="s">
        <v>1683</v>
      </c>
      <c r="Z8" s="345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135</v>
      </c>
      <c r="G10" s="371"/>
      <c r="H10" s="119">
        <f>ROUND(100/'数据-取费表'!G16,0)</f>
        <v>135</v>
      </c>
      <c r="I10" s="371"/>
      <c r="J10" s="119">
        <f>ROUND(100/'数据-取费表'!G16,0)</f>
        <v>135</v>
      </c>
      <c r="K10" s="592"/>
      <c r="L10" s="2490"/>
      <c r="M10" s="2491"/>
      <c r="N10" s="2491"/>
      <c r="O10" s="2542"/>
      <c r="P10" s="3415"/>
      <c r="Q10" s="530" t="str">
        <f t="shared" si="6"/>
        <v>土地使用年限（年）</v>
      </c>
      <c r="R10" s="664" t="s">
        <v>14</v>
      </c>
      <c r="S10" s="665">
        <f t="shared" si="0"/>
        <v>135</v>
      </c>
      <c r="T10" s="664" t="s">
        <v>14</v>
      </c>
      <c r="U10" s="665">
        <f t="shared" si="1"/>
        <v>135</v>
      </c>
      <c r="V10" s="664" t="s">
        <v>14</v>
      </c>
      <c r="W10" s="665">
        <f t="shared" si="2"/>
        <v>135</v>
      </c>
      <c r="X10" s="666"/>
      <c r="Y10" s="3265"/>
      <c r="Z10" s="50" t="str">
        <f t="shared" si="7"/>
        <v>土地使用年限（年）</v>
      </c>
      <c r="AA10" s="50">
        <f t="shared" si="3"/>
        <v>0.7407407407407407</v>
      </c>
      <c r="AB10" s="50">
        <f t="shared" si="4"/>
        <v>0.7407407407407407</v>
      </c>
      <c r="AC10" s="50">
        <f t="shared" si="5"/>
        <v>0.7407407407407407</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5"/>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5"/>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18"/>
      <c r="Q20" s="1263"/>
      <c r="R20" s="667"/>
      <c r="S20" s="668"/>
      <c r="T20" s="667"/>
      <c r="U20" s="668"/>
      <c r="V20" s="667"/>
      <c r="W20" s="668"/>
      <c r="X20" s="1265"/>
      <c r="Y20" s="341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18"/>
      <c r="Q24" s="530"/>
      <c r="R24" s="664"/>
      <c r="S24" s="665"/>
      <c r="T24" s="664"/>
      <c r="U24" s="665"/>
      <c r="V24" s="664"/>
      <c r="W24" s="665"/>
      <c r="X24" s="666"/>
      <c r="Y24" s="341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18"/>
      <c r="Q26" s="530"/>
      <c r="R26" s="664"/>
      <c r="S26" s="665"/>
      <c r="T26" s="664"/>
      <c r="U26" s="665"/>
      <c r="V26" s="664"/>
      <c r="W26" s="665"/>
      <c r="X26" s="666"/>
      <c r="Y26" s="341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18"/>
      <c r="Q29" s="1263"/>
      <c r="R29" s="667"/>
      <c r="S29" s="668"/>
      <c r="T29" s="667"/>
      <c r="U29" s="668"/>
      <c r="V29" s="667"/>
      <c r="W29" s="668"/>
      <c r="X29" s="1265"/>
      <c r="Y29" s="341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7"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5" t="str">
        <f>A41</f>
        <v>成交单价</v>
      </c>
      <c r="Q41" s="3415"/>
      <c r="R41" s="3416">
        <f>E41</f>
        <v>0</v>
      </c>
      <c r="S41" s="3416"/>
      <c r="T41" s="3416">
        <f>G41</f>
        <v>0</v>
      </c>
      <c r="U41" s="3416"/>
      <c r="V41" s="3416">
        <f>I41</f>
        <v>0</v>
      </c>
      <c r="W41" s="3416"/>
      <c r="X41" s="385"/>
      <c r="Y41" s="673"/>
      <c r="Z41" s="385"/>
      <c r="AA41" s="385"/>
      <c r="AB41" s="385"/>
      <c r="AC41" s="385"/>
    </row>
    <row r="42" spans="1:31" ht="14.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15" t="str">
        <f>A42</f>
        <v>比较价值（元/平方米）</v>
      </c>
      <c r="Q42" s="3415"/>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12" t="str">
        <f>A43</f>
        <v>估价对象XX用房的比较价值（楼面单价，元/平方米）</v>
      </c>
      <c r="Q43" s="3413"/>
      <c r="R43" s="3460" t="e">
        <f>ROUND(IF(D42="简单平均",AVERAGE(R42:W42),R42*F42+T42*H42+V42*J42),0)</f>
        <v>#DIV/0!</v>
      </c>
      <c r="S43" s="3460"/>
      <c r="T43" s="3460"/>
      <c r="U43" s="3460"/>
      <c r="V43" s="3460"/>
      <c r="W43" s="346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30" t="s">
        <v>1887</v>
      </c>
      <c r="H50" s="346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50.74</v>
      </c>
      <c r="F51" s="611" t="e">
        <f t="shared" ref="F51:F60" si="15">ROUND(B51*E51/10000,0)</f>
        <v>#DIV/0!</v>
      </c>
      <c r="G51" s="3426"/>
      <c r="H51" s="341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SUMIF(修正!A59:A70,H56,修正!E59:E70)</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SUMIF(修正!A59:A70,H57,修正!F59:F70)</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SUMIF(修正!A59:A70,H60,修正!G59:G70)</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f ca="1">SUMIF(B6:B13,"&lt;&gt;#ref!",B6:B13)</f>
        <v>78</v>
      </c>
      <c r="C2" s="1984" t="s">
        <v>2074</v>
      </c>
      <c r="D2" s="1984" t="s">
        <v>2075</v>
      </c>
      <c r="E2" s="2398">
        <f ca="1">SUMIF(E6:E13,"&lt;&gt;#ref!",E6:E13)</f>
        <v>50.74</v>
      </c>
      <c r="F2" s="2545"/>
      <c r="G2" s="2545"/>
      <c r="H2" s="2545"/>
      <c r="I2" s="2545"/>
      <c r="J2" s="2545"/>
      <c r="K2" s="2545"/>
      <c r="L2" s="2545"/>
      <c r="M2" s="2545"/>
      <c r="N2" s="2545"/>
      <c r="O2" s="2545"/>
      <c r="P2" s="2545"/>
    </row>
    <row r="3" spans="1:16" ht="15.5">
      <c r="A3" s="1984" t="s">
        <v>2076</v>
      </c>
      <c r="B3" s="2388">
        <f ca="1">ROUND(B2*10000/E2,0)</f>
        <v>15372</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f ca="1">SUMIF(INDIRECT("'"&amp;A6&amp;"'"&amp;"!A:A"),"总价",INDIRECT("'"&amp;A6&amp;"'"&amp;"!B:B"))</f>
        <v>78</v>
      </c>
      <c r="C6" s="1984" t="s">
        <v>2074</v>
      </c>
      <c r="D6" s="2545"/>
      <c r="E6" s="2398">
        <f ca="1">SUMIF(INDIRECT("'"&amp;A6&amp;"'"&amp;"!C:C"),"建筑面积",INDIRECT("'"&amp;A6&amp;"'"&amp;"!D:D"))</f>
        <v>50.74</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7" t="s">
        <v>2606</v>
      </c>
      <c r="B20" s="3470" t="s">
        <v>2627</v>
      </c>
      <c r="C20" s="3169" t="s">
        <v>2438</v>
      </c>
      <c r="D20" s="3169"/>
      <c r="E20" s="2845">
        <v>1</v>
      </c>
      <c r="F20" s="2846" t="s">
        <v>2439</v>
      </c>
      <c r="G20" s="2846"/>
    </row>
    <row r="21" spans="1:13" ht="19.5" customHeight="1">
      <c r="A21" s="3478"/>
      <c r="B21" s="3466"/>
      <c r="C21" s="2858" t="s">
        <v>2440</v>
      </c>
      <c r="D21" s="2858"/>
      <c r="E21" s="2849">
        <v>1</v>
      </c>
      <c r="F21" s="2846" t="s">
        <v>2441</v>
      </c>
      <c r="G21" s="2846"/>
    </row>
    <row r="22" spans="1:13" ht="19.5" customHeight="1">
      <c r="A22" s="3478"/>
      <c r="B22" s="3466"/>
      <c r="C22" s="2858" t="s">
        <v>2442</v>
      </c>
      <c r="D22" s="2858"/>
      <c r="E22" s="2849">
        <v>0.9</v>
      </c>
      <c r="F22" s="2846" t="s">
        <v>2443</v>
      </c>
      <c r="G22" s="2846"/>
    </row>
    <row r="23" spans="1:13" ht="19.5" customHeight="1">
      <c r="A23" s="3478"/>
      <c r="B23" s="3466"/>
      <c r="C23" s="2858" t="s">
        <v>2444</v>
      </c>
      <c r="D23" s="2858"/>
      <c r="E23" s="2849">
        <v>0.9</v>
      </c>
      <c r="F23" s="2846" t="s">
        <v>2445</v>
      </c>
      <c r="G23" s="2846"/>
    </row>
    <row r="24" spans="1:13" ht="19.5" customHeight="1">
      <c r="A24" s="3478"/>
      <c r="B24" s="3466"/>
      <c r="C24" s="2858" t="s">
        <v>2446</v>
      </c>
      <c r="D24" s="2858"/>
      <c r="E24" s="2849">
        <v>0.8</v>
      </c>
      <c r="F24" s="2846" t="s">
        <v>2447</v>
      </c>
      <c r="G24" s="2846"/>
    </row>
    <row r="25" spans="1:13" ht="19.5" customHeight="1">
      <c r="A25" s="3478"/>
      <c r="B25" s="3466"/>
      <c r="C25" s="2858" t="s">
        <v>2448</v>
      </c>
      <c r="D25" s="2858"/>
      <c r="E25" s="2849">
        <v>0.8</v>
      </c>
      <c r="F25" s="2846"/>
      <c r="G25" s="2846"/>
    </row>
    <row r="26" spans="1:13" ht="19.5" customHeight="1">
      <c r="A26" s="3478"/>
      <c r="B26" s="3466"/>
      <c r="C26" s="2858" t="s">
        <v>3406</v>
      </c>
      <c r="D26" s="2858"/>
      <c r="E26" s="2849">
        <v>0.43</v>
      </c>
      <c r="F26" s="2846"/>
      <c r="G26" s="2846"/>
    </row>
    <row r="27" spans="1:13" ht="19.5" customHeight="1" thickBot="1">
      <c r="A27" s="3479"/>
      <c r="B27" s="3471"/>
      <c r="C27" s="3165" t="s">
        <v>3407</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472" t="s">
        <v>2630</v>
      </c>
      <c r="B29" s="3475" t="s">
        <v>2611</v>
      </c>
      <c r="C29" s="2843" t="s">
        <v>2451</v>
      </c>
      <c r="D29" s="2844"/>
      <c r="E29" s="2845">
        <v>1</v>
      </c>
      <c r="F29" s="2846" t="s">
        <v>2452</v>
      </c>
      <c r="G29" s="2846"/>
    </row>
    <row r="30" spans="1:13" ht="19.5" customHeight="1">
      <c r="A30" s="3473"/>
      <c r="B30" s="3469"/>
      <c r="C30" s="2847" t="s">
        <v>2453</v>
      </c>
      <c r="D30" s="2848"/>
      <c r="E30" s="2849">
        <v>1</v>
      </c>
      <c r="F30" s="2846" t="s">
        <v>2454</v>
      </c>
      <c r="G30" s="2846"/>
    </row>
    <row r="31" spans="1:13" ht="19.5" customHeight="1">
      <c r="A31" s="3473"/>
      <c r="B31" s="3469"/>
      <c r="C31" s="2847" t="s">
        <v>2455</v>
      </c>
      <c r="D31" s="2848"/>
      <c r="E31" s="2849">
        <v>0.8</v>
      </c>
      <c r="F31" s="2846" t="s">
        <v>2456</v>
      </c>
      <c r="G31" s="2846"/>
    </row>
    <row r="32" spans="1:13" ht="19.5" customHeight="1">
      <c r="A32" s="3473"/>
      <c r="B32" s="3469"/>
      <c r="C32" s="2847" t="s">
        <v>2457</v>
      </c>
      <c r="D32" s="2848"/>
      <c r="E32" s="2849">
        <v>0.8</v>
      </c>
      <c r="F32" s="2846" t="s">
        <v>2458</v>
      </c>
      <c r="G32" s="2846"/>
    </row>
    <row r="33" spans="1:7" ht="19.5" customHeight="1">
      <c r="A33" s="3473"/>
      <c r="B33" s="3469"/>
      <c r="C33" s="2847" t="s">
        <v>2459</v>
      </c>
      <c r="D33" s="2848"/>
      <c r="E33" s="2849">
        <v>0.8</v>
      </c>
      <c r="F33" s="2846" t="s">
        <v>2460</v>
      </c>
      <c r="G33" s="2846"/>
    </row>
    <row r="34" spans="1:7" ht="19.5" customHeight="1">
      <c r="A34" s="3473"/>
      <c r="B34" s="3469"/>
      <c r="C34" s="2847" t="s">
        <v>2461</v>
      </c>
      <c r="D34" s="2848"/>
      <c r="E34" s="2849">
        <v>0.7</v>
      </c>
      <c r="F34" s="2846" t="s">
        <v>2462</v>
      </c>
      <c r="G34" s="2846"/>
    </row>
    <row r="35" spans="1:7" ht="19.5" customHeight="1">
      <c r="A35" s="3473"/>
      <c r="B35" s="3469"/>
      <c r="C35" s="2847" t="s">
        <v>2463</v>
      </c>
      <c r="D35" s="2848"/>
      <c r="E35" s="2849">
        <v>0.8</v>
      </c>
      <c r="F35" s="2846" t="s">
        <v>2464</v>
      </c>
      <c r="G35" s="2846"/>
    </row>
    <row r="36" spans="1:7" ht="19.5" customHeight="1">
      <c r="A36" s="3473"/>
      <c r="B36" s="3469"/>
      <c r="C36" s="2847" t="s">
        <v>2465</v>
      </c>
      <c r="D36" s="2848"/>
      <c r="E36" s="2849">
        <v>0.6</v>
      </c>
      <c r="F36" s="2846" t="s">
        <v>2466</v>
      </c>
      <c r="G36" s="2846"/>
    </row>
    <row r="37" spans="1:7" ht="19.5" customHeight="1">
      <c r="A37" s="3473"/>
      <c r="B37" s="3469"/>
      <c r="C37" s="2847" t="s">
        <v>2467</v>
      </c>
      <c r="D37" s="2848"/>
      <c r="E37" s="2849">
        <v>0.2</v>
      </c>
      <c r="F37" s="2846" t="s">
        <v>2468</v>
      </c>
      <c r="G37" s="2846"/>
    </row>
    <row r="38" spans="1:7" ht="19.5" customHeight="1">
      <c r="A38" s="3473"/>
      <c r="B38" s="3469"/>
      <c r="C38" s="2847" t="s">
        <v>2469</v>
      </c>
      <c r="D38" s="2848"/>
      <c r="E38" s="2849">
        <v>0.2</v>
      </c>
      <c r="F38" s="2846" t="s">
        <v>2470</v>
      </c>
      <c r="G38" s="2846"/>
    </row>
    <row r="39" spans="1:7" ht="19.5" customHeight="1">
      <c r="A39" s="3473"/>
      <c r="B39" s="3467" t="s">
        <v>2631</v>
      </c>
      <c r="C39" s="2847" t="s">
        <v>2471</v>
      </c>
      <c r="D39" s="2848"/>
      <c r="E39" s="2849">
        <v>0.6</v>
      </c>
      <c r="F39" s="2846" t="s">
        <v>2472</v>
      </c>
      <c r="G39" s="2846"/>
    </row>
    <row r="40" spans="1:7" ht="19.5" customHeight="1">
      <c r="A40" s="3473"/>
      <c r="B40" s="3469"/>
      <c r="C40" s="2847" t="s">
        <v>2473</v>
      </c>
      <c r="D40" s="2848"/>
      <c r="E40" s="2849">
        <v>0.6</v>
      </c>
      <c r="F40" s="2846" t="s">
        <v>2474</v>
      </c>
      <c r="G40" s="2846"/>
    </row>
    <row r="41" spans="1:7" ht="19.5" customHeight="1" thickBot="1">
      <c r="A41" s="3474"/>
      <c r="B41" s="3476"/>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477" t="s">
        <v>2609</v>
      </c>
      <c r="B43" s="3475" t="s">
        <v>2633</v>
      </c>
      <c r="C43" s="2843" t="s">
        <v>2478</v>
      </c>
      <c r="D43" s="2844"/>
      <c r="E43" s="2845">
        <v>1</v>
      </c>
      <c r="F43" s="2846" t="s">
        <v>2479</v>
      </c>
      <c r="G43" s="2846"/>
    </row>
    <row r="44" spans="1:7" ht="19.5" customHeight="1">
      <c r="A44" s="3478"/>
      <c r="B44" s="3469"/>
      <c r="C44" s="2847" t="s">
        <v>2480</v>
      </c>
      <c r="D44" s="2848"/>
      <c r="E44" s="2849">
        <v>1</v>
      </c>
      <c r="F44" s="2846" t="s">
        <v>2481</v>
      </c>
      <c r="G44" s="2846"/>
    </row>
    <row r="45" spans="1:7" ht="19.5" customHeight="1">
      <c r="A45" s="3478"/>
      <c r="B45" s="3468"/>
      <c r="C45" s="2847" t="s">
        <v>2482</v>
      </c>
      <c r="D45" s="2848"/>
      <c r="E45" s="2849">
        <v>1.5</v>
      </c>
      <c r="F45" s="2846" t="s">
        <v>2483</v>
      </c>
      <c r="G45" s="2846"/>
    </row>
    <row r="46" spans="1:7" ht="19.5" customHeight="1">
      <c r="A46" s="3478"/>
      <c r="B46" s="2858" t="s">
        <v>2634</v>
      </c>
      <c r="C46" s="2847" t="s">
        <v>2635</v>
      </c>
      <c r="D46" s="2848"/>
      <c r="E46" s="2849">
        <v>2</v>
      </c>
      <c r="F46" s="2846" t="s">
        <v>2484</v>
      </c>
      <c r="G46" s="2846"/>
    </row>
    <row r="47" spans="1:7" ht="19.5" customHeight="1">
      <c r="A47" s="3478"/>
      <c r="B47" s="3467" t="s">
        <v>2636</v>
      </c>
      <c r="C47" s="2847" t="s">
        <v>2485</v>
      </c>
      <c r="D47" s="2848"/>
      <c r="E47" s="2849">
        <v>1</v>
      </c>
      <c r="F47" s="2846" t="s">
        <v>2486</v>
      </c>
      <c r="G47" s="2846"/>
    </row>
    <row r="48" spans="1:7" ht="19.5" customHeight="1">
      <c r="A48" s="3478"/>
      <c r="B48" s="3469"/>
      <c r="C48" s="2847" t="s">
        <v>2487</v>
      </c>
      <c r="D48" s="2848"/>
      <c r="E48" s="2849">
        <v>1</v>
      </c>
      <c r="F48" s="2846" t="s">
        <v>2488</v>
      </c>
      <c r="G48" s="2846"/>
    </row>
    <row r="49" spans="1:7" ht="19.5" customHeight="1">
      <c r="A49" s="3478"/>
      <c r="B49" s="3469"/>
      <c r="C49" s="2847" t="s">
        <v>2489</v>
      </c>
      <c r="D49" s="2848"/>
      <c r="E49" s="2849">
        <v>1</v>
      </c>
      <c r="F49" s="2846" t="s">
        <v>2490</v>
      </c>
      <c r="G49" s="2846"/>
    </row>
    <row r="50" spans="1:7" ht="19.5" customHeight="1">
      <c r="A50" s="3478"/>
      <c r="B50" s="3469"/>
      <c r="C50" s="2847" t="s">
        <v>2491</v>
      </c>
      <c r="D50" s="2848"/>
      <c r="E50" s="2849">
        <v>1</v>
      </c>
      <c r="F50" s="2846" t="s">
        <v>2492</v>
      </c>
      <c r="G50" s="2846"/>
    </row>
    <row r="51" spans="1:7" ht="19.5" customHeight="1">
      <c r="A51" s="3478"/>
      <c r="B51" s="3469"/>
      <c r="C51" s="2847" t="s">
        <v>2493</v>
      </c>
      <c r="D51" s="2848"/>
      <c r="E51" s="2849">
        <v>1</v>
      </c>
      <c r="F51" s="2846" t="s">
        <v>2494</v>
      </c>
      <c r="G51" s="2846"/>
    </row>
    <row r="52" spans="1:7" ht="19.5" customHeight="1">
      <c r="A52" s="3478"/>
      <c r="B52" s="3469"/>
      <c r="C52" s="2847" t="s">
        <v>2495</v>
      </c>
      <c r="D52" s="2848"/>
      <c r="E52" s="2849">
        <v>1</v>
      </c>
      <c r="F52" s="2846" t="s">
        <v>2496</v>
      </c>
      <c r="G52" s="2846"/>
    </row>
    <row r="53" spans="1:7" ht="19.5" customHeight="1" thickBot="1">
      <c r="A53" s="3479"/>
      <c r="B53" s="3476"/>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
      <c r="A74" s="2858"/>
      <c r="B74" s="2858"/>
      <c r="C74" s="2858" t="s">
        <v>2649</v>
      </c>
      <c r="D74" s="2858"/>
      <c r="E74" s="2858" t="s">
        <v>2620</v>
      </c>
      <c r="F74" s="2858" t="s">
        <v>2620</v>
      </c>
    </row>
    <row r="75" spans="1:7" ht="14">
      <c r="A75" s="2858">
        <v>1</v>
      </c>
      <c r="B75" s="3467" t="s">
        <v>2650</v>
      </c>
      <c r="C75" s="2832" t="s">
        <v>2651</v>
      </c>
      <c r="D75" s="2832" t="s">
        <v>2652</v>
      </c>
      <c r="E75" s="2858">
        <v>0.2</v>
      </c>
      <c r="F75" s="2858">
        <v>25</v>
      </c>
    </row>
    <row r="76" spans="1:7" ht="26">
      <c r="A76" s="2858">
        <v>2</v>
      </c>
      <c r="B76" s="3469"/>
      <c r="C76" s="2832" t="s">
        <v>2653</v>
      </c>
      <c r="D76" s="2832" t="s">
        <v>2654</v>
      </c>
      <c r="E76" s="2858">
        <v>0.2</v>
      </c>
      <c r="F76" s="2858">
        <v>25</v>
      </c>
    </row>
    <row r="77" spans="1:7" ht="26">
      <c r="A77" s="2858">
        <v>3</v>
      </c>
      <c r="B77" s="3469"/>
      <c r="C77" s="2832" t="s">
        <v>2655</v>
      </c>
      <c r="D77" s="2832" t="s">
        <v>2656</v>
      </c>
      <c r="E77" s="2858">
        <v>0.2</v>
      </c>
      <c r="F77" s="2858">
        <v>25</v>
      </c>
    </row>
    <row r="78" spans="1:7" ht="14">
      <c r="A78" s="2858">
        <v>4</v>
      </c>
      <c r="B78" s="3469"/>
      <c r="C78" s="2832" t="s">
        <v>2657</v>
      </c>
      <c r="D78" s="2832" t="s">
        <v>2658</v>
      </c>
      <c r="E78" s="2858">
        <v>0.15</v>
      </c>
      <c r="F78" s="2858">
        <v>20</v>
      </c>
    </row>
    <row r="79" spans="1:7" ht="26">
      <c r="A79" s="2858">
        <v>5</v>
      </c>
      <c r="B79" s="3469"/>
      <c r="C79" s="2832" t="s">
        <v>2659</v>
      </c>
      <c r="D79" s="2832" t="s">
        <v>2660</v>
      </c>
      <c r="E79" s="2858">
        <v>0.15</v>
      </c>
      <c r="F79" s="2858">
        <v>20</v>
      </c>
    </row>
    <row r="80" spans="1:7" ht="26">
      <c r="A80" s="2858">
        <v>6</v>
      </c>
      <c r="B80" s="3469"/>
      <c r="C80" s="2832" t="s">
        <v>2661</v>
      </c>
      <c r="D80" s="2832" t="s">
        <v>2662</v>
      </c>
      <c r="E80" s="2858">
        <v>0.15</v>
      </c>
      <c r="F80" s="2858">
        <v>20</v>
      </c>
    </row>
    <row r="81" spans="1:6" ht="26">
      <c r="A81" s="2858">
        <v>7</v>
      </c>
      <c r="B81" s="3469"/>
      <c r="C81" s="2832" t="s">
        <v>2663</v>
      </c>
      <c r="D81" s="2832" t="s">
        <v>2664</v>
      </c>
      <c r="E81" s="2858">
        <v>0.15</v>
      </c>
      <c r="F81" s="2858">
        <v>20</v>
      </c>
    </row>
    <row r="82" spans="1:6" ht="26">
      <c r="A82" s="2858">
        <v>8</v>
      </c>
      <c r="B82" s="3469"/>
      <c r="C82" s="2832" t="s">
        <v>2665</v>
      </c>
      <c r="D82" s="2832" t="s">
        <v>2666</v>
      </c>
      <c r="E82" s="2858">
        <v>0.1</v>
      </c>
      <c r="F82" s="2858">
        <v>15</v>
      </c>
    </row>
    <row r="83" spans="1:6" ht="26">
      <c r="A83" s="2858">
        <v>9</v>
      </c>
      <c r="B83" s="3469"/>
      <c r="C83" s="2832" t="s">
        <v>2667</v>
      </c>
      <c r="D83" s="2832" t="s">
        <v>2668</v>
      </c>
      <c r="E83" s="2858">
        <v>0.1</v>
      </c>
      <c r="F83" s="2858">
        <v>15</v>
      </c>
    </row>
    <row r="84" spans="1:6" ht="26">
      <c r="A84" s="2858">
        <v>10</v>
      </c>
      <c r="B84" s="3469"/>
      <c r="C84" s="2832" t="s">
        <v>2669</v>
      </c>
      <c r="D84" s="2832" t="s">
        <v>2670</v>
      </c>
      <c r="E84" s="2858">
        <v>0.1</v>
      </c>
      <c r="F84" s="2858">
        <v>15</v>
      </c>
    </row>
    <row r="85" spans="1:6" ht="26">
      <c r="A85" s="2858">
        <v>11</v>
      </c>
      <c r="B85" s="3469"/>
      <c r="C85" s="2832" t="s">
        <v>2671</v>
      </c>
      <c r="D85" s="2832" t="s">
        <v>2672</v>
      </c>
      <c r="E85" s="2858">
        <v>0.1</v>
      </c>
      <c r="F85" s="2858">
        <v>15</v>
      </c>
    </row>
    <row r="86" spans="1:6" ht="26">
      <c r="A86" s="2858">
        <v>12</v>
      </c>
      <c r="B86" s="3469"/>
      <c r="C86" s="2832" t="s">
        <v>2673</v>
      </c>
      <c r="D86" s="2832" t="s">
        <v>2674</v>
      </c>
      <c r="E86" s="2858">
        <v>0.1</v>
      </c>
      <c r="F86" s="2858">
        <v>15</v>
      </c>
    </row>
    <row r="87" spans="1:6" ht="14">
      <c r="A87" s="2858">
        <v>13</v>
      </c>
      <c r="B87" s="3469"/>
      <c r="C87" s="2832" t="s">
        <v>2675</v>
      </c>
      <c r="D87" s="2832" t="s">
        <v>2676</v>
      </c>
      <c r="E87" s="2858">
        <v>0.1</v>
      </c>
      <c r="F87" s="2858">
        <v>15</v>
      </c>
    </row>
    <row r="88" spans="1:6" ht="14">
      <c r="A88" s="2858">
        <v>14</v>
      </c>
      <c r="B88" s="3469"/>
      <c r="C88" s="2832" t="s">
        <v>2677</v>
      </c>
      <c r="D88" s="2832" t="s">
        <v>2678</v>
      </c>
      <c r="E88" s="2858">
        <v>0.1</v>
      </c>
      <c r="F88" s="2858">
        <v>15</v>
      </c>
    </row>
    <row r="89" spans="1:6" ht="14">
      <c r="A89" s="2858">
        <v>15</v>
      </c>
      <c r="B89" s="3469"/>
      <c r="C89" s="2832" t="s">
        <v>2679</v>
      </c>
      <c r="D89" s="2832" t="s">
        <v>2680</v>
      </c>
      <c r="E89" s="2858">
        <v>0.1</v>
      </c>
      <c r="F89" s="2858">
        <v>15</v>
      </c>
    </row>
    <row r="90" spans="1:6" ht="26">
      <c r="A90" s="2858">
        <v>16</v>
      </c>
      <c r="B90" s="3469"/>
      <c r="C90" s="2832" t="s">
        <v>2681</v>
      </c>
      <c r="D90" s="2832" t="s">
        <v>2682</v>
      </c>
      <c r="E90" s="2858">
        <v>0.1</v>
      </c>
      <c r="F90" s="2858">
        <v>15</v>
      </c>
    </row>
    <row r="91" spans="1:6" ht="26">
      <c r="A91" s="2858">
        <v>17</v>
      </c>
      <c r="B91" s="3468"/>
      <c r="C91" s="2832" t="s">
        <v>2683</v>
      </c>
      <c r="D91" s="2832" t="s">
        <v>2684</v>
      </c>
      <c r="E91" s="2858">
        <v>0.1</v>
      </c>
      <c r="F91" s="2858">
        <v>15</v>
      </c>
    </row>
    <row r="92" spans="1:6" ht="14">
      <c r="A92" s="2858">
        <v>18</v>
      </c>
      <c r="B92" s="3467" t="s">
        <v>2685</v>
      </c>
      <c r="C92" s="2832" t="s">
        <v>2686</v>
      </c>
      <c r="D92" s="2832" t="s">
        <v>2687</v>
      </c>
      <c r="E92" s="2858">
        <v>0.2</v>
      </c>
      <c r="F92" s="2858">
        <v>25</v>
      </c>
    </row>
    <row r="93" spans="1:6" ht="26">
      <c r="A93" s="2858">
        <v>19</v>
      </c>
      <c r="B93" s="3469"/>
      <c r="C93" s="2832" t="s">
        <v>2688</v>
      </c>
      <c r="D93" s="2832" t="s">
        <v>2689</v>
      </c>
      <c r="E93" s="2858">
        <v>0.2</v>
      </c>
      <c r="F93" s="2858">
        <v>25</v>
      </c>
    </row>
    <row r="94" spans="1:6" ht="14">
      <c r="A94" s="2858">
        <v>20</v>
      </c>
      <c r="B94" s="3469"/>
      <c r="C94" s="2832" t="s">
        <v>2690</v>
      </c>
      <c r="D94" s="2832" t="s">
        <v>2691</v>
      </c>
      <c r="E94" s="2858">
        <v>0.15</v>
      </c>
      <c r="F94" s="2858">
        <v>20</v>
      </c>
    </row>
    <row r="95" spans="1:6" ht="26">
      <c r="A95" s="2858">
        <v>21</v>
      </c>
      <c r="B95" s="3469"/>
      <c r="C95" s="2832" t="s">
        <v>2692</v>
      </c>
      <c r="D95" s="2832" t="s">
        <v>2693</v>
      </c>
      <c r="E95" s="2858">
        <v>0.15</v>
      </c>
      <c r="F95" s="2858">
        <v>20</v>
      </c>
    </row>
    <row r="96" spans="1:6" ht="26">
      <c r="A96" s="2858">
        <v>22</v>
      </c>
      <c r="B96" s="3469"/>
      <c r="C96" s="2832" t="s">
        <v>2694</v>
      </c>
      <c r="D96" s="2832" t="s">
        <v>2695</v>
      </c>
      <c r="E96" s="2858">
        <v>0.15</v>
      </c>
      <c r="F96" s="2858">
        <v>20</v>
      </c>
    </row>
    <row r="97" spans="1:6" ht="39">
      <c r="A97" s="2858">
        <v>23</v>
      </c>
      <c r="B97" s="3469"/>
      <c r="C97" s="2832" t="s">
        <v>2696</v>
      </c>
      <c r="D97" s="2832" t="s">
        <v>2697</v>
      </c>
      <c r="E97" s="2858">
        <v>0.15</v>
      </c>
      <c r="F97" s="2858">
        <v>20</v>
      </c>
    </row>
    <row r="98" spans="1:6" ht="14">
      <c r="A98" s="2858">
        <v>24</v>
      </c>
      <c r="B98" s="3469"/>
      <c r="C98" s="2832" t="s">
        <v>2698</v>
      </c>
      <c r="D98" s="2832" t="s">
        <v>2699</v>
      </c>
      <c r="E98" s="2858">
        <v>0.1</v>
      </c>
      <c r="F98" s="2858">
        <v>15</v>
      </c>
    </row>
    <row r="99" spans="1:6" ht="26">
      <c r="A99" s="2858">
        <v>25</v>
      </c>
      <c r="B99" s="3469"/>
      <c r="C99" s="2832" t="s">
        <v>2700</v>
      </c>
      <c r="D99" s="2832" t="s">
        <v>2701</v>
      </c>
      <c r="E99" s="2858">
        <v>0.1</v>
      </c>
      <c r="F99" s="2858">
        <v>15</v>
      </c>
    </row>
    <row r="100" spans="1:6" ht="26">
      <c r="A100" s="2858">
        <v>26</v>
      </c>
      <c r="B100" s="3469"/>
      <c r="C100" s="2832" t="s">
        <v>2702</v>
      </c>
      <c r="D100" s="2832" t="s">
        <v>2703</v>
      </c>
      <c r="E100" s="2858">
        <v>0.1</v>
      </c>
      <c r="F100" s="2858">
        <v>15</v>
      </c>
    </row>
    <row r="101" spans="1:6" ht="26">
      <c r="A101" s="2858">
        <v>27</v>
      </c>
      <c r="B101" s="3469"/>
      <c r="C101" s="2832" t="s">
        <v>2704</v>
      </c>
      <c r="D101" s="2832" t="s">
        <v>2705</v>
      </c>
      <c r="E101" s="2858">
        <v>0.1</v>
      </c>
      <c r="F101" s="2858">
        <v>15</v>
      </c>
    </row>
    <row r="102" spans="1:6" ht="26">
      <c r="A102" s="2858">
        <v>28</v>
      </c>
      <c r="B102" s="3469"/>
      <c r="C102" s="2832" t="s">
        <v>2706</v>
      </c>
      <c r="D102" s="2832" t="s">
        <v>2707</v>
      </c>
      <c r="E102" s="2858">
        <v>0.1</v>
      </c>
      <c r="F102" s="2858">
        <v>15</v>
      </c>
    </row>
    <row r="103" spans="1:6" ht="26">
      <c r="A103" s="2858">
        <v>29</v>
      </c>
      <c r="B103" s="3469"/>
      <c r="C103" s="2832" t="s">
        <v>2708</v>
      </c>
      <c r="D103" s="2832" t="s">
        <v>2709</v>
      </c>
      <c r="E103" s="2858">
        <v>0.1</v>
      </c>
      <c r="F103" s="2858">
        <v>15</v>
      </c>
    </row>
    <row r="104" spans="1:6" ht="26">
      <c r="A104" s="2858">
        <v>30</v>
      </c>
      <c r="B104" s="3469"/>
      <c r="C104" s="2832" t="s">
        <v>2710</v>
      </c>
      <c r="D104" s="2832" t="s">
        <v>2711</v>
      </c>
      <c r="E104" s="2858">
        <v>0.1</v>
      </c>
      <c r="F104" s="2858">
        <v>15</v>
      </c>
    </row>
    <row r="105" spans="1:6" ht="26">
      <c r="A105" s="2858">
        <v>31</v>
      </c>
      <c r="B105" s="3469"/>
      <c r="C105" s="2832" t="s">
        <v>2712</v>
      </c>
      <c r="D105" s="2832" t="s">
        <v>2713</v>
      </c>
      <c r="E105" s="2858">
        <v>0.1</v>
      </c>
      <c r="F105" s="2858">
        <v>15</v>
      </c>
    </row>
    <row r="106" spans="1:6" ht="26">
      <c r="A106" s="2858">
        <v>32</v>
      </c>
      <c r="B106" s="3469"/>
      <c r="C106" s="2832" t="s">
        <v>2714</v>
      </c>
      <c r="D106" s="2832" t="s">
        <v>2715</v>
      </c>
      <c r="E106" s="2858">
        <v>0.1</v>
      </c>
      <c r="F106" s="2858">
        <v>15</v>
      </c>
    </row>
    <row r="107" spans="1:6" ht="26">
      <c r="A107" s="2858">
        <v>33</v>
      </c>
      <c r="B107" s="3469"/>
      <c r="C107" s="2832" t="s">
        <v>2716</v>
      </c>
      <c r="D107" s="2832" t="s">
        <v>2717</v>
      </c>
      <c r="E107" s="2858">
        <v>0.1</v>
      </c>
      <c r="F107" s="2858">
        <v>15</v>
      </c>
    </row>
    <row r="108" spans="1:6" ht="26">
      <c r="A108" s="2858">
        <v>34</v>
      </c>
      <c r="B108" s="3468"/>
      <c r="C108" s="2832" t="s">
        <v>2718</v>
      </c>
      <c r="D108" s="2832" t="s">
        <v>2719</v>
      </c>
      <c r="E108" s="2858">
        <v>0.1</v>
      </c>
      <c r="F108" s="2858">
        <v>15</v>
      </c>
    </row>
    <row r="109" spans="1:6" ht="26">
      <c r="A109" s="2858">
        <v>35</v>
      </c>
      <c r="B109" s="3467" t="s">
        <v>2720</v>
      </c>
      <c r="C109" s="2858" t="s">
        <v>2721</v>
      </c>
      <c r="D109" s="2832" t="s">
        <v>2722</v>
      </c>
      <c r="E109" s="2858">
        <v>0.15</v>
      </c>
      <c r="F109" s="2858">
        <v>20</v>
      </c>
    </row>
    <row r="110" spans="1:6" ht="26">
      <c r="A110" s="2858">
        <v>36</v>
      </c>
      <c r="B110" s="3469"/>
      <c r="C110" s="2858" t="s">
        <v>2723</v>
      </c>
      <c r="D110" s="2832" t="s">
        <v>2724</v>
      </c>
      <c r="E110" s="2858">
        <v>0.15</v>
      </c>
      <c r="F110" s="2858">
        <v>20</v>
      </c>
    </row>
    <row r="111" spans="1:6" ht="26">
      <c r="A111" s="2858">
        <v>37</v>
      </c>
      <c r="B111" s="3469"/>
      <c r="C111" s="2858" t="s">
        <v>2725</v>
      </c>
      <c r="D111" s="2832" t="s">
        <v>2726</v>
      </c>
      <c r="E111" s="2858">
        <v>0.15</v>
      </c>
      <c r="F111" s="2858">
        <v>20</v>
      </c>
    </row>
    <row r="112" spans="1:6" ht="14">
      <c r="A112" s="2858">
        <v>38</v>
      </c>
      <c r="B112" s="3469"/>
      <c r="C112" s="2858" t="s">
        <v>2727</v>
      </c>
      <c r="D112" s="2832" t="s">
        <v>2728</v>
      </c>
      <c r="E112" s="2858">
        <v>0.1</v>
      </c>
      <c r="F112" s="2858">
        <v>15</v>
      </c>
    </row>
    <row r="113" spans="1:6" ht="26">
      <c r="A113" s="2858">
        <v>39</v>
      </c>
      <c r="B113" s="3469"/>
      <c r="C113" s="2858" t="s">
        <v>2729</v>
      </c>
      <c r="D113" s="2832" t="s">
        <v>2730</v>
      </c>
      <c r="E113" s="2858">
        <v>0.1</v>
      </c>
      <c r="F113" s="2858">
        <v>15</v>
      </c>
    </row>
    <row r="114" spans="1:6" ht="26">
      <c r="A114" s="2858">
        <v>40</v>
      </c>
      <c r="B114" s="3468"/>
      <c r="C114" s="2858" t="s">
        <v>2731</v>
      </c>
      <c r="D114" s="2832" t="s">
        <v>2732</v>
      </c>
      <c r="E114" s="2858">
        <v>0.1</v>
      </c>
      <c r="F114" s="2858">
        <v>15</v>
      </c>
    </row>
    <row r="115" spans="1:6" ht="26">
      <c r="A115" s="2858">
        <v>41</v>
      </c>
      <c r="B115" s="3466" t="s">
        <v>2733</v>
      </c>
      <c r="C115" s="2858" t="s">
        <v>2734</v>
      </c>
      <c r="D115" s="2832" t="s">
        <v>2735</v>
      </c>
      <c r="E115" s="2858">
        <v>0.1</v>
      </c>
      <c r="F115" s="2858">
        <v>15</v>
      </c>
    </row>
    <row r="116" spans="1:6" ht="14">
      <c r="A116" s="2858">
        <v>42</v>
      </c>
      <c r="B116" s="3466"/>
      <c r="C116" s="2858" t="s">
        <v>2736</v>
      </c>
      <c r="D116" s="2832" t="s">
        <v>2737</v>
      </c>
      <c r="E116" s="2858">
        <v>0.1</v>
      </c>
      <c r="F116" s="2858">
        <v>15</v>
      </c>
    </row>
    <row r="117" spans="1:6" ht="26">
      <c r="A117" s="2858">
        <v>43</v>
      </c>
      <c r="B117" s="3466"/>
      <c r="C117" s="2858" t="s">
        <v>2738</v>
      </c>
      <c r="D117" s="2832" t="s">
        <v>2739</v>
      </c>
      <c r="E117" s="2858">
        <v>0.1</v>
      </c>
      <c r="F117" s="2858">
        <v>15</v>
      </c>
    </row>
    <row r="118" spans="1:6" ht="26">
      <c r="A118" s="2858">
        <v>44</v>
      </c>
      <c r="B118" s="3467" t="s">
        <v>2740</v>
      </c>
      <c r="C118" s="2858" t="s">
        <v>2741</v>
      </c>
      <c r="D118" s="2832" t="s">
        <v>2742</v>
      </c>
      <c r="E118" s="2858">
        <v>0.1</v>
      </c>
      <c r="F118" s="2858">
        <v>15</v>
      </c>
    </row>
    <row r="119" spans="1:6" ht="26">
      <c r="A119" s="2858">
        <v>45</v>
      </c>
      <c r="B119" s="3468"/>
      <c r="C119" s="2832" t="s">
        <v>2743</v>
      </c>
      <c r="D119" s="2832" t="s">
        <v>2744</v>
      </c>
      <c r="E119" s="2858">
        <v>0.1</v>
      </c>
      <c r="F119" s="2858">
        <v>15</v>
      </c>
    </row>
    <row r="120" spans="1:6" ht="26">
      <c r="A120" s="2858">
        <v>46</v>
      </c>
      <c r="B120" s="3467" t="s">
        <v>2745</v>
      </c>
      <c r="C120" s="2858" t="s">
        <v>2746</v>
      </c>
      <c r="D120" s="2832" t="s">
        <v>2747</v>
      </c>
      <c r="E120" s="2858">
        <v>0.1</v>
      </c>
      <c r="F120" s="2858">
        <v>15</v>
      </c>
    </row>
    <row r="121" spans="1:6" ht="26">
      <c r="A121" s="2858">
        <v>47</v>
      </c>
      <c r="B121" s="3468"/>
      <c r="C121" s="2858" t="s">
        <v>2748</v>
      </c>
      <c r="D121" s="2832" t="s">
        <v>2749</v>
      </c>
      <c r="E121" s="2858">
        <v>0.1</v>
      </c>
      <c r="F121" s="2858">
        <v>15</v>
      </c>
    </row>
    <row r="122" spans="1:6" ht="26">
      <c r="A122" s="2858">
        <v>48</v>
      </c>
      <c r="B122" s="3467" t="s">
        <v>2750</v>
      </c>
      <c r="C122" s="2858" t="s">
        <v>2751</v>
      </c>
      <c r="D122" s="2832" t="s">
        <v>2752</v>
      </c>
      <c r="E122" s="2858">
        <v>0.1</v>
      </c>
      <c r="F122" s="2858">
        <v>15</v>
      </c>
    </row>
    <row r="123" spans="1:6" ht="14">
      <c r="A123" s="2858">
        <v>49</v>
      </c>
      <c r="B123" s="3468"/>
      <c r="C123" s="2858" t="s">
        <v>2753</v>
      </c>
      <c r="D123" s="2832" t="s">
        <v>2754</v>
      </c>
      <c r="E123" s="2858">
        <v>0.1</v>
      </c>
      <c r="F123" s="2858">
        <v>15</v>
      </c>
    </row>
    <row r="124" spans="1:6" ht="26">
      <c r="A124" s="2858">
        <v>50</v>
      </c>
      <c r="B124" s="3466" t="s">
        <v>2755</v>
      </c>
      <c r="C124" s="2858" t="s">
        <v>2756</v>
      </c>
      <c r="D124" s="2832" t="s">
        <v>2757</v>
      </c>
      <c r="E124" s="2858">
        <v>0.1</v>
      </c>
      <c r="F124" s="2858">
        <v>15</v>
      </c>
    </row>
    <row r="125" spans="1:6" ht="26">
      <c r="A125" s="2858">
        <v>51</v>
      </c>
      <c r="B125" s="3466"/>
      <c r="C125" s="2858" t="s">
        <v>2758</v>
      </c>
      <c r="D125" s="2832" t="s">
        <v>2759</v>
      </c>
      <c r="E125" s="2858">
        <v>0.1</v>
      </c>
      <c r="F125" s="2858">
        <v>15</v>
      </c>
    </row>
    <row r="126" spans="1:6" ht="26">
      <c r="A126" s="2858">
        <v>52</v>
      </c>
      <c r="B126" s="3466" t="s">
        <v>2760</v>
      </c>
      <c r="C126" s="2858" t="s">
        <v>2761</v>
      </c>
      <c r="D126" s="2832" t="s">
        <v>2762</v>
      </c>
      <c r="E126" s="2858">
        <v>0.1</v>
      </c>
      <c r="F126" s="2858">
        <v>15</v>
      </c>
    </row>
    <row r="127" spans="1:6" ht="26">
      <c r="A127" s="2858">
        <v>53</v>
      </c>
      <c r="B127" s="3466"/>
      <c r="C127" s="2858" t="s">
        <v>2763</v>
      </c>
      <c r="D127" s="2832" t="s">
        <v>2764</v>
      </c>
      <c r="E127" s="2858">
        <v>0.1</v>
      </c>
      <c r="F127" s="2858">
        <v>15</v>
      </c>
    </row>
    <row r="128" spans="1:6" ht="26">
      <c r="A128" s="2858">
        <v>54</v>
      </c>
      <c r="B128" s="2858" t="s">
        <v>2765</v>
      </c>
      <c r="C128" s="2858" t="s">
        <v>2766</v>
      </c>
      <c r="D128" s="2832" t="s">
        <v>2767</v>
      </c>
      <c r="E128" s="2858">
        <v>0.1</v>
      </c>
      <c r="F128" s="2858">
        <v>15</v>
      </c>
    </row>
    <row r="129" spans="1:6" ht="14">
      <c r="A129" s="2858">
        <v>55</v>
      </c>
      <c r="B129" s="3466" t="s">
        <v>2768</v>
      </c>
      <c r="C129" s="2858" t="s">
        <v>2769</v>
      </c>
      <c r="D129" s="2832" t="s">
        <v>2770</v>
      </c>
      <c r="E129" s="2858">
        <v>0.1</v>
      </c>
      <c r="F129" s="2858">
        <v>15</v>
      </c>
    </row>
    <row r="130" spans="1:6" ht="14">
      <c r="A130" s="2858">
        <v>56</v>
      </c>
      <c r="B130" s="3466"/>
      <c r="C130" s="2858" t="s">
        <v>2771</v>
      </c>
      <c r="D130" s="2832" t="s">
        <v>2772</v>
      </c>
      <c r="E130" s="2858">
        <v>0.1</v>
      </c>
      <c r="F130" s="2858">
        <v>15</v>
      </c>
    </row>
    <row r="131" spans="1:6" ht="26">
      <c r="A131" s="2858">
        <v>57</v>
      </c>
      <c r="B131" s="3466"/>
      <c r="C131" s="2858" t="s">
        <v>2773</v>
      </c>
      <c r="D131" s="2832" t="s">
        <v>2774</v>
      </c>
      <c r="E131" s="2858">
        <v>0.1</v>
      </c>
      <c r="F131" s="2858">
        <v>15</v>
      </c>
    </row>
    <row r="132" spans="1:6" ht="26">
      <c r="A132" s="2858">
        <v>58</v>
      </c>
      <c r="B132" s="3466" t="s">
        <v>2775</v>
      </c>
      <c r="C132" s="2858" t="s">
        <v>2776</v>
      </c>
      <c r="D132" s="2832" t="s">
        <v>2777</v>
      </c>
      <c r="E132" s="2858">
        <v>0.1</v>
      </c>
      <c r="F132" s="2858">
        <v>15</v>
      </c>
    </row>
    <row r="133" spans="1:6" ht="26">
      <c r="A133" s="2858">
        <v>59</v>
      </c>
      <c r="B133" s="3466"/>
      <c r="C133" s="2858" t="s">
        <v>2778</v>
      </c>
      <c r="D133" s="2832" t="s">
        <v>2779</v>
      </c>
      <c r="E133" s="2858">
        <v>0.1</v>
      </c>
      <c r="F133" s="2858">
        <v>15</v>
      </c>
    </row>
    <row r="134" spans="1:6" ht="26">
      <c r="A134" s="2858">
        <v>60</v>
      </c>
      <c r="B134" s="3467" t="s">
        <v>2780</v>
      </c>
      <c r="C134" s="2858" t="s">
        <v>2781</v>
      </c>
      <c r="D134" s="2832" t="s">
        <v>2782</v>
      </c>
      <c r="E134" s="2858">
        <v>0.1</v>
      </c>
      <c r="F134" s="2858">
        <v>15</v>
      </c>
    </row>
    <row r="135" spans="1:6" ht="26">
      <c r="A135" s="2858">
        <v>61</v>
      </c>
      <c r="B135" s="3468"/>
      <c r="C135" s="2858" t="s">
        <v>2783</v>
      </c>
      <c r="D135" s="2832" t="s">
        <v>2784</v>
      </c>
      <c r="E135" s="2858">
        <v>0.1</v>
      </c>
      <c r="F135" s="2858">
        <v>15</v>
      </c>
    </row>
    <row r="136" spans="1:6" ht="26">
      <c r="A136" s="2858">
        <v>62</v>
      </c>
      <c r="B136" s="2858" t="s">
        <v>2785</v>
      </c>
      <c r="C136" s="2858" t="s">
        <v>2786</v>
      </c>
      <c r="D136" s="2832" t="s">
        <v>2787</v>
      </c>
      <c r="E136" s="2858">
        <v>0.1</v>
      </c>
      <c r="F136" s="2858">
        <v>15</v>
      </c>
    </row>
    <row r="137" spans="1:6" ht="26">
      <c r="A137" s="2858">
        <v>63</v>
      </c>
      <c r="B137" s="3466" t="s">
        <v>2788</v>
      </c>
      <c r="C137" s="2858" t="s">
        <v>2789</v>
      </c>
      <c r="D137" s="2832" t="s">
        <v>2790</v>
      </c>
      <c r="E137" s="2858">
        <v>0.1</v>
      </c>
      <c r="F137" s="2858">
        <v>15</v>
      </c>
    </row>
    <row r="138" spans="1:6" ht="14">
      <c r="A138" s="2858">
        <v>64</v>
      </c>
      <c r="B138" s="3466"/>
      <c r="C138" s="2858" t="s">
        <v>2791</v>
      </c>
      <c r="D138" s="2832" t="s">
        <v>2792</v>
      </c>
      <c r="E138" s="2858">
        <v>0.1</v>
      </c>
      <c r="F138" s="2858">
        <v>15</v>
      </c>
    </row>
    <row r="139" spans="1:6" ht="26">
      <c r="A139" s="2858">
        <v>65</v>
      </c>
      <c r="B139" s="2858" t="s">
        <v>2793</v>
      </c>
      <c r="C139" s="2858" t="s">
        <v>2794</v>
      </c>
      <c r="D139" s="2832" t="s">
        <v>2795</v>
      </c>
      <c r="E139" s="2858">
        <v>0.1</v>
      </c>
      <c r="F139" s="2858">
        <v>15</v>
      </c>
    </row>
    <row r="140" spans="1:6" ht="14">
      <c r="A140" s="2858"/>
      <c r="B140" s="2858"/>
      <c r="C140" s="2858"/>
      <c r="D140" s="2858"/>
      <c r="E140" s="2858" t="s">
        <v>2796</v>
      </c>
      <c r="F140" s="285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1</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0.95120000000000005</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5" thickBot="1">
      <c r="A4" s="1391"/>
      <c r="B4" s="3180" t="s">
        <v>917</v>
      </c>
      <c r="C4" s="3180"/>
      <c r="D4" s="3180"/>
      <c r="E4" s="1391"/>
    </row>
    <row r="5" spans="1:5" ht="16" thickTop="1">
      <c r="B5" s="3178" t="s">
        <v>909</v>
      </c>
      <c r="C5" s="1392" t="s">
        <v>910</v>
      </c>
      <c r="D5" s="797">
        <f ca="1">结果表!H101</f>
        <v>119</v>
      </c>
    </row>
    <row r="6" spans="1:5" ht="15.5">
      <c r="B6" s="3178"/>
      <c r="C6" s="1392" t="s">
        <v>911</v>
      </c>
      <c r="D6" s="797" t="str">
        <f ca="1">NUMBERSTRING(INT(D5*10000),2)&amp;"元整"</f>
        <v>壹佰壹拾玖万元整</v>
      </c>
    </row>
    <row r="7" spans="1:5" ht="15.5">
      <c r="B7" s="3183"/>
      <c r="C7" s="1393" t="s">
        <v>912</v>
      </c>
      <c r="D7" s="798">
        <f ca="1">结果表!H102</f>
        <v>23508</v>
      </c>
    </row>
    <row r="8" spans="1:5" ht="15.5">
      <c r="B8" s="3184" t="str">
        <f>结果表!E103</f>
        <v>2.估价师知悉的法定优先受偿款</v>
      </c>
      <c r="C8" s="1394" t="s">
        <v>913</v>
      </c>
      <c r="D8" s="798">
        <f>结果表!H103</f>
        <v>0</v>
      </c>
    </row>
    <row r="9" spans="1:5" ht="15.5">
      <c r="B9" s="318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7" t="str">
        <f>结果表!E107</f>
        <v>3.房地产抵押价值</v>
      </c>
      <c r="C13" s="1397" t="s">
        <v>910</v>
      </c>
      <c r="D13" s="800">
        <f ca="1">结果表!H107</f>
        <v>119</v>
      </c>
    </row>
    <row r="14" spans="1:5" ht="15.5">
      <c r="B14" s="3178"/>
      <c r="C14" s="1392" t="s">
        <v>911</v>
      </c>
      <c r="D14" s="797" t="str">
        <f ca="1">NUMBERSTRING(INT(D13*10000),2)&amp;"元整"</f>
        <v>壹佰壹拾玖万元整</v>
      </c>
    </row>
    <row r="15" spans="1:5" ht="15.5">
      <c r="B15" s="3183"/>
      <c r="C15" s="1393" t="s">
        <v>921</v>
      </c>
      <c r="D15" s="806">
        <f ca="1">结果表!H108</f>
        <v>23508</v>
      </c>
    </row>
    <row r="16" spans="1:5" ht="15">
      <c r="B16" s="3184" t="str">
        <f>结果表!E109</f>
        <v>——</v>
      </c>
      <c r="C16" s="1397" t="s">
        <v>922</v>
      </c>
      <c r="D16" s="1398" t="str">
        <f>结果表!H109</f>
        <v>——</v>
      </c>
    </row>
    <row r="17" spans="1:5" ht="15.5">
      <c r="B17" s="3185"/>
      <c r="C17" s="1392" t="s">
        <v>923</v>
      </c>
      <c r="D17" s="797" t="e">
        <f>NUMBERSTRING(INT(D16*10000),2)&amp;"元整"</f>
        <v>#VALUE!</v>
      </c>
    </row>
    <row r="18" spans="1:5" ht="15.5">
      <c r="B18" s="3186"/>
      <c r="C18" s="1393" t="s">
        <v>912</v>
      </c>
      <c r="D18" s="806" t="str">
        <f>结果表!H110</f>
        <v>——</v>
      </c>
    </row>
    <row r="19" spans="1:5" ht="15.5">
      <c r="B19" s="3177" t="str">
        <f>结果表!E111</f>
        <v>——</v>
      </c>
      <c r="C19" s="1397" t="s">
        <v>910</v>
      </c>
      <c r="D19" s="798" t="str">
        <f>结果表!H111</f>
        <v>——</v>
      </c>
    </row>
    <row r="20" spans="1:5" ht="15.5">
      <c r="B20" s="3178"/>
      <c r="C20" s="1392" t="s">
        <v>923</v>
      </c>
      <c r="D20" s="797" t="e">
        <f>NUMBERSTRING(INT(D19*10000),2)&amp;"元整"</f>
        <v>#VALUE!</v>
      </c>
    </row>
    <row r="21" spans="1:5" ht="16" thickBot="1">
      <c r="B21" s="317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27647</v>
      </c>
      <c r="C2" s="2" t="s">
        <v>106</v>
      </c>
      <c r="D2" s="191"/>
      <c r="E2" s="191"/>
      <c r="F2" s="191"/>
      <c r="G2" s="191"/>
    </row>
    <row r="3" spans="1:7" s="192" customFormat="1" ht="18" customHeight="1" thickBot="1">
      <c r="A3" s="195" t="s">
        <v>58</v>
      </c>
      <c r="B3" s="196">
        <f ca="1">ROUND(B2*10000/'数据-汇总表'!E3,0)</f>
        <v>5448758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50.74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50.74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50.74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6">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27647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80" t="s">
        <v>3180</v>
      </c>
      <c r="B1" s="3480"/>
    </row>
    <row r="2" spans="1:7" ht="14.5" thickBot="1">
      <c r="A2" s="2969"/>
      <c r="B2" s="2969"/>
    </row>
    <row r="3" spans="1:7" ht="14.5" thickBot="1">
      <c r="A3" s="2969"/>
      <c r="B3" s="2969"/>
      <c r="C3" s="2970" t="s">
        <v>2810</v>
      </c>
      <c r="D3" s="2970" t="s">
        <v>2866</v>
      </c>
      <c r="E3" s="2970" t="s">
        <v>2812</v>
      </c>
      <c r="F3" s="2970" t="s">
        <v>2867</v>
      </c>
      <c r="G3" s="2970" t="s">
        <v>2630</v>
      </c>
    </row>
    <row r="4" spans="1:7" ht="14.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81" t="s">
        <v>3231</v>
      </c>
      <c r="B1" s="3481"/>
      <c r="C1" s="3481"/>
      <c r="D1" s="3481"/>
      <c r="E1" s="3481"/>
      <c r="F1" s="3482"/>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50.74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30" t="s">
        <v>1770</v>
      </c>
      <c r="D4" s="3431"/>
      <c r="E4" s="3432" t="s">
        <v>1771</v>
      </c>
      <c r="F4" s="3433"/>
      <c r="G4" s="3430" t="s">
        <v>1772</v>
      </c>
      <c r="H4" s="3431"/>
      <c r="I4" s="3430" t="s">
        <v>1773</v>
      </c>
      <c r="J4" s="3431"/>
      <c r="K4" s="537" t="s">
        <v>1774</v>
      </c>
      <c r="L4" s="2487"/>
      <c r="M4" s="2488"/>
      <c r="N4" s="2488"/>
      <c r="O4" s="2488"/>
      <c r="P4" s="3489" t="s">
        <v>1775</v>
      </c>
      <c r="Q4" s="3490"/>
      <c r="R4" s="3493" t="s">
        <v>1771</v>
      </c>
      <c r="S4" s="3494"/>
      <c r="T4" s="3493" t="s">
        <v>1772</v>
      </c>
      <c r="U4" s="3494"/>
      <c r="V4" s="3495" t="s">
        <v>1773</v>
      </c>
      <c r="W4" s="3495"/>
      <c r="X4" s="1809"/>
      <c r="Y4" s="3493" t="s">
        <v>1775</v>
      </c>
      <c r="Z4" s="3494"/>
      <c r="AA4" s="3497" t="s">
        <v>1771</v>
      </c>
      <c r="AB4" s="3497" t="s">
        <v>1772</v>
      </c>
      <c r="AC4" s="3486" t="s">
        <v>1773</v>
      </c>
    </row>
    <row r="5" spans="1:29">
      <c r="A5" s="348"/>
      <c r="B5" s="349"/>
      <c r="C5" s="3448" t="s">
        <v>1673</v>
      </c>
      <c r="D5" s="3449"/>
      <c r="E5" s="3455" t="s">
        <v>1674</v>
      </c>
      <c r="F5" s="3456"/>
      <c r="G5" s="3448" t="s">
        <v>1675</v>
      </c>
      <c r="H5" s="3449"/>
      <c r="I5" s="3448" t="s">
        <v>1676</v>
      </c>
      <c r="J5" s="3449"/>
      <c r="K5" s="537"/>
      <c r="L5" s="2487"/>
      <c r="M5" s="2488"/>
      <c r="N5" s="2488"/>
      <c r="O5" s="2488"/>
      <c r="P5" s="3491"/>
      <c r="Q5" s="3437"/>
      <c r="R5" s="3442"/>
      <c r="S5" s="3443"/>
      <c r="T5" s="3442"/>
      <c r="U5" s="3443"/>
      <c r="V5" s="3416"/>
      <c r="W5" s="3416"/>
      <c r="X5" s="1265"/>
      <c r="Y5" s="3442"/>
      <c r="Z5" s="3443"/>
      <c r="AA5" s="3428"/>
      <c r="AB5" s="3428"/>
      <c r="AC5" s="3487"/>
    </row>
    <row r="6" spans="1:29" ht="15" thickBot="1">
      <c r="A6" s="350"/>
      <c r="B6" s="351"/>
      <c r="C6" s="3446" t="s">
        <v>1677</v>
      </c>
      <c r="D6" s="3447"/>
      <c r="E6" s="3453" t="s">
        <v>1677</v>
      </c>
      <c r="F6" s="3454"/>
      <c r="G6" s="3446" t="s">
        <v>1677</v>
      </c>
      <c r="H6" s="3447"/>
      <c r="I6" s="3446" t="s">
        <v>1677</v>
      </c>
      <c r="J6" s="3447"/>
      <c r="K6" s="537" t="s">
        <v>1678</v>
      </c>
      <c r="L6" s="2487"/>
      <c r="M6" s="2488"/>
      <c r="N6" s="2488"/>
      <c r="O6" s="2488"/>
      <c r="P6" s="3492"/>
      <c r="Q6" s="3439"/>
      <c r="R6" s="3442"/>
      <c r="S6" s="3443"/>
      <c r="T6" s="3444"/>
      <c r="U6" s="3445"/>
      <c r="V6" s="3416"/>
      <c r="W6" s="3416"/>
      <c r="X6" s="1265"/>
      <c r="Y6" s="3444"/>
      <c r="Z6" s="3445"/>
      <c r="AA6" s="3429"/>
      <c r="AB6" s="3429"/>
      <c r="AC6" s="3488"/>
    </row>
    <row r="7" spans="1:29" s="102" customFormat="1" ht="14.5" thickBot="1">
      <c r="A7" s="352" t="s">
        <v>1679</v>
      </c>
      <c r="B7" s="353"/>
      <c r="C7" s="354">
        <f>'数据-取费表'!B2</f>
        <v>46008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6"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6" t="s">
        <v>1683</v>
      </c>
      <c r="Q8" s="3451"/>
      <c r="R8" s="664" t="s">
        <v>14</v>
      </c>
      <c r="S8" s="665">
        <f t="shared" si="0"/>
        <v>100</v>
      </c>
      <c r="T8" s="664" t="s">
        <v>14</v>
      </c>
      <c r="U8" s="665">
        <f t="shared" si="1"/>
        <v>100</v>
      </c>
      <c r="V8" s="664" t="s">
        <v>14</v>
      </c>
      <c r="W8" s="665">
        <f t="shared" si="2"/>
        <v>100</v>
      </c>
      <c r="X8" s="666"/>
      <c r="Y8" s="3450" t="s">
        <v>1683</v>
      </c>
      <c r="Z8" s="345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6"/>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6"/>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25"/>
      <c r="Q22" s="1263"/>
      <c r="R22" s="667"/>
      <c r="S22" s="668"/>
      <c r="T22" s="667"/>
      <c r="U22" s="668"/>
      <c r="V22" s="667"/>
      <c r="W22" s="668"/>
      <c r="X22" s="1265"/>
      <c r="Y22" s="341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25"/>
      <c r="Q26" s="1263"/>
      <c r="R26" s="667"/>
      <c r="S26" s="668"/>
      <c r="T26" s="667"/>
      <c r="U26" s="668"/>
      <c r="V26" s="667"/>
      <c r="W26" s="668"/>
      <c r="X26" s="1265"/>
      <c r="Y26" s="341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26" t="str">
        <f>A48</f>
        <v>成交单价（元/平方米）</v>
      </c>
      <c r="Q48" s="3415"/>
      <c r="R48" s="3416">
        <f>E48</f>
        <v>0</v>
      </c>
      <c r="S48" s="3416"/>
      <c r="T48" s="3416">
        <f>G48</f>
        <v>0</v>
      </c>
      <c r="U48" s="3416"/>
      <c r="V48" s="3416">
        <f>I48</f>
        <v>0</v>
      </c>
      <c r="W48" s="3416"/>
      <c r="X48" s="385"/>
      <c r="Y48" s="673"/>
      <c r="Z48" s="385"/>
      <c r="AA48" s="385"/>
      <c r="AB48" s="385"/>
      <c r="AC48" s="555"/>
    </row>
    <row r="49" spans="1:29" ht="14.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26" t="str">
        <f>A49</f>
        <v>比较价值（元/平方米）</v>
      </c>
      <c r="Q49" s="3415"/>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46008</v>
      </c>
      <c r="B1" s="2930" t="s">
        <v>3375</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44" s="2010" customFormat="1" ht="14.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3400</v>
      </c>
      <c r="AG2" t="s">
        <v>673</v>
      </c>
      <c r="AH2" t="s">
        <v>21</v>
      </c>
      <c r="AI2" t="s">
        <v>3401</v>
      </c>
      <c r="AJ2" t="s">
        <v>3</v>
      </c>
      <c r="AK2" t="s">
        <v>3402</v>
      </c>
      <c r="AM2" t="s">
        <v>3400</v>
      </c>
      <c r="AN2" t="s">
        <v>673</v>
      </c>
      <c r="AO2" t="s">
        <v>21</v>
      </c>
      <c r="AP2" t="s">
        <v>3401</v>
      </c>
      <c r="AQ2" t="s">
        <v>3</v>
      </c>
      <c r="AR2" t="s">
        <v>3402</v>
      </c>
    </row>
    <row r="3" spans="1:44" s="2887" customFormat="1" ht="13">
      <c r="A3" s="2885" t="s">
        <v>2818</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3378</v>
      </c>
    </row>
    <row r="27" spans="1:44">
      <c r="I27" s="1405" t="s">
        <v>2824</v>
      </c>
    </row>
    <row r="29" spans="1:44" s="2009" customFormat="1" ht="13">
      <c r="B29" s="2930" t="s">
        <v>3376</v>
      </c>
      <c r="C29" s="2931"/>
      <c r="D29" s="2931"/>
      <c r="E29" s="2931"/>
      <c r="F29" s="2931"/>
      <c r="G29" s="2931"/>
      <c r="H29" s="2931"/>
      <c r="I29" s="2931"/>
      <c r="J29" s="2897"/>
      <c r="K29" s="2931" t="s">
        <v>2825</v>
      </c>
      <c r="L29" s="2931"/>
      <c r="M29" s="2931"/>
      <c r="N29" s="2931"/>
      <c r="O29" s="2931"/>
      <c r="P29" s="2931"/>
      <c r="Q29" s="2897"/>
      <c r="R29" s="3498" t="s">
        <v>2826</v>
      </c>
      <c r="S29" s="3499"/>
      <c r="T29" s="3499"/>
      <c r="U29" s="3499"/>
      <c r="V29" s="3499"/>
      <c r="W29" s="3499"/>
      <c r="X29" s="2897"/>
      <c r="Y29" s="3498" t="s">
        <v>2827</v>
      </c>
      <c r="Z29" s="3499"/>
      <c r="AA29" s="3499"/>
      <c r="AB29" s="3499"/>
      <c r="AC29" s="3499"/>
      <c r="AD29" s="3499"/>
    </row>
    <row r="30" spans="1:44" s="2010" customFormat="1" ht="14.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3401</v>
      </c>
      <c r="AJ30"/>
      <c r="AK30" t="s">
        <v>3402</v>
      </c>
      <c r="AN30" t="s">
        <v>673</v>
      </c>
      <c r="AO30" t="s">
        <v>21</v>
      </c>
      <c r="AP30" t="s">
        <v>3401</v>
      </c>
      <c r="AQ30"/>
      <c r="AR30" t="s">
        <v>3402</v>
      </c>
    </row>
    <row r="31" spans="1:44" s="2887" customFormat="1" ht="13">
      <c r="A31" s="2885" t="s">
        <v>2833</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2110</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1" t="s">
        <v>2838</v>
      </c>
      <c r="B1" s="3511"/>
      <c r="C1" s="3511"/>
      <c r="D1" s="3511"/>
      <c r="E1" s="3511"/>
      <c r="F1" s="3511"/>
      <c r="G1" s="3512"/>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5"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9"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5" thickBot="1">
      <c r="A4" s="3510"/>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5"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5"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5"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5"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46008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6">
      <c r="A3" s="3190"/>
      <c r="B3" s="3190"/>
      <c r="C3" s="3190"/>
      <c r="D3" s="801" t="s">
        <v>925</v>
      </c>
      <c r="E3" s="801" t="s">
        <v>931</v>
      </c>
      <c r="F3" s="801" t="s">
        <v>925</v>
      </c>
      <c r="G3" s="801" t="s">
        <v>926</v>
      </c>
      <c r="H3" s="801" t="s">
        <v>925</v>
      </c>
      <c r="I3" s="801" t="s">
        <v>926</v>
      </c>
    </row>
    <row r="4" spans="1:9" ht="15.5">
      <c r="A4" s="1403" t="str">
        <f>项目基本情况!S2</f>
        <v>北京市房地产</v>
      </c>
      <c r="B4" s="801">
        <f>项目基本情况!C17</f>
        <v>50.74</v>
      </c>
      <c r="C4" s="801">
        <f>项目基本情况!C18</f>
        <v>0</v>
      </c>
      <c r="D4" s="801">
        <f>结果表!D118</f>
        <v>0</v>
      </c>
      <c r="E4" s="801">
        <f>结果表!E118</f>
        <v>0</v>
      </c>
      <c r="F4" s="801">
        <f>结果表!F118</f>
        <v>0</v>
      </c>
      <c r="G4" s="801">
        <f>结果表!G118</f>
        <v>0</v>
      </c>
      <c r="H4" s="801">
        <f ca="1">结果表!H118</f>
        <v>119</v>
      </c>
      <c r="I4" s="801">
        <f ca="1">结果表!I118</f>
        <v>23508</v>
      </c>
    </row>
    <row r="5" spans="1:9" ht="30" customHeight="1">
      <c r="A5" s="3190" t="s">
        <v>927</v>
      </c>
      <c r="B5" s="3190"/>
      <c r="C5" s="3190"/>
      <c r="D5" s="3190" t="str">
        <f>结果表!D119</f>
        <v>零元整</v>
      </c>
      <c r="E5" s="3190"/>
      <c r="F5" s="3190" t="str">
        <f>结果表!F119</f>
        <v>零元整</v>
      </c>
      <c r="G5" s="3190"/>
      <c r="H5" s="3190" t="str">
        <f ca="1">结果表!H119</f>
        <v>壹佰壹拾玖万元整</v>
      </c>
      <c r="I5" s="3190"/>
    </row>
    <row r="6" spans="1:9" ht="15.5">
      <c r="A6" s="3189" t="str">
        <f>结果表!A120</f>
        <v>估价师知悉的法定优先受偿款</v>
      </c>
      <c r="B6" s="3189"/>
      <c r="C6" s="3189"/>
      <c r="D6" s="3189">
        <f>结果表!D120</f>
        <v>0</v>
      </c>
      <c r="E6" s="3189"/>
      <c r="F6" s="3189"/>
      <c r="G6" s="3189"/>
      <c r="H6" s="3189"/>
      <c r="I6" s="3189"/>
    </row>
    <row r="7" spans="1:9" ht="15.5">
      <c r="A7" s="3190" t="s">
        <v>927</v>
      </c>
      <c r="B7" s="3190"/>
      <c r="C7" s="3190"/>
      <c r="D7" s="3191" t="str">
        <f>结果表!D121</f>
        <v>零元整</v>
      </c>
      <c r="E7" s="3192"/>
      <c r="F7" s="3192"/>
      <c r="G7" s="3192"/>
      <c r="H7" s="3192"/>
      <c r="I7" s="3193"/>
    </row>
    <row r="8" spans="1:9" ht="15.5">
      <c r="A8" s="3189" t="str">
        <f>结果表!A122</f>
        <v>房地产抵押价值</v>
      </c>
      <c r="B8" s="3189"/>
      <c r="C8" s="3189"/>
      <c r="D8" s="3189">
        <f ca="1">结果表!D122</f>
        <v>119</v>
      </c>
      <c r="E8" s="3189"/>
      <c r="F8" s="3189"/>
      <c r="G8" s="3189"/>
      <c r="H8" s="3189"/>
      <c r="I8" s="3189"/>
    </row>
    <row r="9" spans="1:9" ht="15.5">
      <c r="A9" s="3190" t="s">
        <v>927</v>
      </c>
      <c r="B9" s="3190"/>
      <c r="C9" s="3190"/>
      <c r="D9" s="3190" t="str">
        <f ca="1">结果表!D123</f>
        <v>壹佰壹拾玖万元整</v>
      </c>
      <c r="E9" s="3190"/>
      <c r="F9" s="3190"/>
      <c r="G9" s="3190"/>
      <c r="H9" s="3190"/>
      <c r="I9" s="3190"/>
    </row>
    <row r="10" spans="1:9" ht="15.5">
      <c r="A10" s="3189" t="str">
        <f>结果表!A124</f>
        <v/>
      </c>
      <c r="B10" s="3189"/>
      <c r="C10" s="3189"/>
      <c r="D10" s="3189" t="str">
        <f>结果表!D124</f>
        <v>——</v>
      </c>
      <c r="E10" s="3189"/>
      <c r="F10" s="3189"/>
      <c r="G10" s="3189"/>
      <c r="H10" s="3189"/>
      <c r="I10" s="3189"/>
    </row>
    <row r="11" spans="1:9" ht="15.5">
      <c r="A11" s="3190" t="s">
        <v>927</v>
      </c>
      <c r="B11" s="3190"/>
      <c r="C11" s="3190"/>
      <c r="D11" s="3190" t="e">
        <f>结果表!D125</f>
        <v>#VALUE!</v>
      </c>
      <c r="E11" s="3190"/>
      <c r="F11" s="3190"/>
      <c r="G11" s="3190"/>
      <c r="H11" s="3190"/>
      <c r="I11" s="3190"/>
    </row>
    <row r="12" spans="1:9" ht="15.5">
      <c r="A12" s="3189" t="str">
        <f>结果表!A126</f>
        <v/>
      </c>
      <c r="B12" s="3189"/>
      <c r="C12" s="3189"/>
      <c r="D12" s="3189" t="str">
        <f>结果表!D126</f>
        <v>——</v>
      </c>
      <c r="E12" s="3189"/>
      <c r="F12" s="3189"/>
      <c r="G12" s="3189"/>
      <c r="H12" s="3189"/>
      <c r="I12" s="3189"/>
    </row>
    <row r="13" spans="1:9" ht="16" thickBot="1">
      <c r="A13" s="3187" t="s">
        <v>927</v>
      </c>
      <c r="B13" s="3187"/>
      <c r="C13" s="3187"/>
      <c r="D13" s="3187" t="e">
        <f>结果表!D127</f>
        <v>#VALUE!</v>
      </c>
      <c r="E13" s="3187"/>
      <c r="F13" s="3187"/>
      <c r="G13" s="3187"/>
      <c r="H13" s="3187"/>
      <c r="I13" s="3187"/>
    </row>
    <row r="14" spans="1:9" ht="14.5" thickTop="1">
      <c r="A14" s="3188" t="s">
        <v>932</v>
      </c>
      <c r="B14" s="3188"/>
      <c r="C14" s="3188"/>
      <c r="D14" s="3188"/>
      <c r="E14" s="3188"/>
      <c r="F14" s="3188"/>
      <c r="G14" s="3188"/>
      <c r="H14" s="3188"/>
      <c r="I14" s="318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2" t="s">
        <v>949</v>
      </c>
      <c r="B1" s="3202"/>
      <c r="C1" s="3202"/>
      <c r="D1" s="3202"/>
    </row>
    <row r="2" spans="1:4" ht="18">
      <c r="A2" s="3203" t="s">
        <v>933</v>
      </c>
      <c r="B2" s="3203"/>
      <c r="C2" s="3203"/>
      <c r="D2" s="3203"/>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4" t="s">
        <v>942</v>
      </c>
      <c r="B11" s="3196"/>
      <c r="C11" s="3196"/>
      <c r="D11" s="3196"/>
    </row>
    <row r="12" spans="1:4" ht="15.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0" t="s">
        <v>956</v>
      </c>
      <c r="B15" s="3205" t="s">
        <v>109</v>
      </c>
      <c r="C15" s="3206"/>
    </row>
    <row r="16" spans="1:7" ht="14">
      <c r="A16" s="3211"/>
      <c r="B16" s="3205" t="s">
        <v>42</v>
      </c>
      <c r="C16" s="3206"/>
    </row>
    <row r="17" spans="1:3" ht="14">
      <c r="A17" s="3211"/>
      <c r="B17" s="3208" t="s">
        <v>957</v>
      </c>
      <c r="C17" s="1429" t="s">
        <v>956</v>
      </c>
    </row>
    <row r="18" spans="1:3" ht="14">
      <c r="A18" s="3211"/>
      <c r="B18" s="3208"/>
      <c r="C18" s="1429" t="s">
        <v>958</v>
      </c>
    </row>
    <row r="19" spans="1:3" ht="14">
      <c r="A19" s="3211"/>
      <c r="B19" s="3208"/>
      <c r="C19" s="1429" t="s">
        <v>959</v>
      </c>
    </row>
    <row r="20" spans="1:3" ht="14">
      <c r="A20" s="3212"/>
      <c r="B20" s="3207" t="s">
        <v>960</v>
      </c>
      <c r="C20" s="3206"/>
    </row>
    <row r="21" spans="1:3" ht="14">
      <c r="A21" s="1430" t="s">
        <v>961</v>
      </c>
      <c r="B21" s="1431"/>
      <c r="C21" s="1432"/>
    </row>
    <row r="22" spans="1:3" ht="14">
      <c r="A22" s="3209" t="s">
        <v>962</v>
      </c>
      <c r="B22" s="3207" t="s">
        <v>963</v>
      </c>
      <c r="C22" s="3206"/>
    </row>
    <row r="23" spans="1:3" ht="14">
      <c r="A23" s="3209"/>
      <c r="B23" s="3207" t="s">
        <v>964</v>
      </c>
      <c r="C23" s="3206"/>
    </row>
    <row r="24" spans="1:3" ht="14">
      <c r="A24" s="3209"/>
      <c r="B24" s="3207" t="s">
        <v>965</v>
      </c>
      <c r="C24" s="3206"/>
    </row>
    <row r="25" spans="1:3" ht="14">
      <c r="A25" s="3209"/>
      <c r="B25" s="3208" t="s">
        <v>966</v>
      </c>
      <c r="C25" s="1429" t="s">
        <v>967</v>
      </c>
    </row>
    <row r="26" spans="1:3" ht="14">
      <c r="A26" s="3209"/>
      <c r="B26" s="3208"/>
      <c r="C26" s="1429" t="s">
        <v>968</v>
      </c>
    </row>
    <row r="27" spans="1:3" ht="14">
      <c r="A27" s="3209"/>
      <c r="B27" s="3208"/>
      <c r="C27" s="1429" t="s">
        <v>969</v>
      </c>
    </row>
    <row r="28" spans="1:3" ht="14">
      <c r="A28" s="3209"/>
      <c r="B28" s="3208"/>
      <c r="C28" s="1429" t="s">
        <v>970</v>
      </c>
    </row>
    <row r="29" spans="1:3" ht="14">
      <c r="A29" s="3209"/>
      <c r="B29" s="3208"/>
      <c r="C29" s="1429" t="s">
        <v>971</v>
      </c>
    </row>
    <row r="30" spans="1:3" ht="14">
      <c r="A30" s="3209"/>
      <c r="B30" s="3208"/>
      <c r="C30" s="1429" t="s">
        <v>972</v>
      </c>
    </row>
    <row r="31" spans="1:3" ht="14">
      <c r="A31" s="3209"/>
      <c r="B31" s="3208"/>
      <c r="C31" s="1429" t="s">
        <v>973</v>
      </c>
    </row>
    <row r="32" spans="1:3" ht="14">
      <c r="A32" s="3209"/>
      <c r="B32" s="3208"/>
      <c r="C32" s="1429" t="s">
        <v>974</v>
      </c>
    </row>
    <row r="33" spans="1:3" ht="14">
      <c r="A33" s="3209"/>
      <c r="B33" s="320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2138</v>
      </c>
      <c r="B2" s="2157">
        <f ca="1">TODAY()</f>
        <v>46008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2159</v>
      </c>
      <c r="B17" s="3213"/>
      <c r="C17" s="3213"/>
      <c r="D17" s="3213"/>
      <c r="E17" s="3213"/>
      <c r="F17" s="3213"/>
      <c r="G17" s="3213"/>
      <c r="H17" s="3213"/>
    </row>
    <row r="18" spans="1:8" ht="24" customHeight="1">
      <c r="A18" s="3214" t="s">
        <v>2160</v>
      </c>
      <c r="B18" s="3214"/>
      <c r="C18" s="3214"/>
      <c r="D18" s="2160"/>
      <c r="E18" s="3215" t="s">
        <v>2161</v>
      </c>
      <c r="F18" s="3214"/>
      <c r="G18" s="321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典型户型修正</vt:lpstr>
      <vt:lpstr>面积</vt:lpstr>
      <vt:lpstr>租金案例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2025-12-17T01:55:26Z</dcterms:modified>
</cp:coreProperties>
</file>